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tpeters\Downloads\"/>
    </mc:Choice>
  </mc:AlternateContent>
  <xr:revisionPtr revIDLastSave="0" documentId="13_ncr:1_{8432B8B0-DA53-44EB-8383-0A8720A7F159}" xr6:coauthVersionLast="47" xr6:coauthVersionMax="47" xr10:uidLastSave="{00000000-0000-0000-0000-000000000000}"/>
  <bookViews>
    <workbookView xWindow="34740" yWindow="-18060" windowWidth="29040" windowHeight="17640" xr2:uid="{00000000-000D-0000-FFFF-FFFF00000000}"/>
  </bookViews>
  <sheets>
    <sheet name="SERVICEABILITY CALCULATOR" sheetId="1" r:id="rId1"/>
    <sheet name="ADDITIONAL INFO" sheetId="2" state="hidden" r:id="rId2"/>
    <sheet name="Version History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G24" i="1" s="1"/>
  <c r="F23" i="1"/>
  <c r="F24" i="1" s="1"/>
  <c r="E23" i="1"/>
  <c r="E24" i="1" s="1"/>
  <c r="E32" i="1"/>
  <c r="B61" i="2"/>
  <c r="F54" i="2"/>
  <c r="H54" i="2" s="1"/>
  <c r="F53" i="2"/>
  <c r="F51" i="2"/>
  <c r="E48" i="2"/>
  <c r="B43" i="2"/>
  <c r="R42" i="2"/>
  <c r="R43" i="2" s="1"/>
  <c r="F42" i="2"/>
  <c r="B42" i="2"/>
  <c r="R41" i="2"/>
  <c r="R40" i="2"/>
  <c r="F39" i="2"/>
  <c r="F50" i="2" s="1"/>
  <c r="F38" i="2"/>
  <c r="A28" i="2"/>
  <c r="A32" i="2" s="1"/>
  <c r="A46" i="2" s="1"/>
  <c r="F26" i="2"/>
  <c r="F23" i="2"/>
  <c r="R21" i="2"/>
  <c r="R20" i="2"/>
  <c r="S19" i="2"/>
  <c r="S20" i="2" s="1"/>
  <c r="S21" i="2" s="1"/>
  <c r="R19" i="2"/>
  <c r="S18" i="2"/>
  <c r="A14" i="2"/>
  <c r="F12" i="2"/>
  <c r="R23" i="2" s="1"/>
  <c r="F20" i="2" s="1"/>
  <c r="E10" i="2"/>
  <c r="E9" i="2"/>
  <c r="B76" i="1"/>
  <c r="H67" i="1"/>
  <c r="I67" i="1" s="1"/>
  <c r="I63" i="1"/>
  <c r="L60" i="1"/>
  <c r="O59" i="1"/>
  <c r="L59" i="1"/>
  <c r="I58" i="1"/>
  <c r="I73" i="1" s="1"/>
  <c r="O57" i="1"/>
  <c r="B49" i="1"/>
  <c r="B52" i="1" s="1"/>
  <c r="B66" i="1" s="1"/>
  <c r="G47" i="1"/>
  <c r="G46" i="1"/>
  <c r="G45" i="1"/>
  <c r="G44" i="1"/>
  <c r="I43" i="1"/>
  <c r="G43" i="1"/>
  <c r="I36" i="1"/>
  <c r="N33" i="1"/>
  <c r="N34" i="1" s="1"/>
  <c r="M33" i="1"/>
  <c r="M34" i="1" s="1"/>
  <c r="P32" i="1"/>
  <c r="O32" i="1"/>
  <c r="N32" i="1"/>
  <c r="M32" i="1"/>
  <c r="H32" i="1"/>
  <c r="P33" i="1" s="1"/>
  <c r="G32" i="1"/>
  <c r="O33" i="1" s="1"/>
  <c r="F32" i="1"/>
  <c r="H24" i="1"/>
  <c r="X22" i="1"/>
  <c r="X21" i="1"/>
  <c r="X20" i="1"/>
  <c r="W20" i="1"/>
  <c r="W21" i="1" s="1"/>
  <c r="B15" i="1"/>
  <c r="M12" i="1"/>
  <c r="H9" i="1"/>
  <c r="U46" i="2" s="1"/>
  <c r="G9" i="1"/>
  <c r="T46" i="2" s="1"/>
  <c r="T50" i="2" s="1"/>
  <c r="F9" i="1"/>
  <c r="S46" i="2" s="1"/>
  <c r="S49" i="2" s="1"/>
  <c r="E9" i="1"/>
  <c r="R46" i="2" s="1"/>
  <c r="R50" i="2" s="1"/>
  <c r="O58" i="1" l="1"/>
  <c r="O60" i="1" s="1"/>
  <c r="I54" i="1" s="1"/>
  <c r="M9" i="1"/>
  <c r="AA14" i="1" s="1"/>
  <c r="I24" i="1"/>
  <c r="R49" i="2"/>
  <c r="O34" i="1"/>
  <c r="G33" i="1"/>
  <c r="U50" i="2"/>
  <c r="U48" i="2"/>
  <c r="U52" i="2"/>
  <c r="U55" i="2" s="1"/>
  <c r="U49" i="2"/>
  <c r="H33" i="1"/>
  <c r="P34" i="1"/>
  <c r="T49" i="2"/>
  <c r="F43" i="2"/>
  <c r="F48" i="2"/>
  <c r="E33" i="1"/>
  <c r="I72" i="1"/>
  <c r="I74" i="1" s="1"/>
  <c r="R48" i="2"/>
  <c r="R52" i="2" s="1"/>
  <c r="R55" i="2" s="1"/>
  <c r="T52" i="2"/>
  <c r="T55" i="2" s="1"/>
  <c r="F33" i="1"/>
  <c r="I64" i="1"/>
  <c r="S48" i="2"/>
  <c r="S52" i="2" s="1"/>
  <c r="S55" i="2" s="1"/>
  <c r="T48" i="2"/>
  <c r="S50" i="2"/>
  <c r="I69" i="1"/>
  <c r="K73" i="1" s="1"/>
  <c r="I70" i="1"/>
  <c r="K74" i="1" s="1"/>
  <c r="F11" i="1" l="1"/>
  <c r="E6" i="2"/>
  <c r="E8" i="2"/>
  <c r="H11" i="1"/>
  <c r="G11" i="1"/>
  <c r="E7" i="2"/>
  <c r="E5" i="2"/>
  <c r="E11" i="1"/>
  <c r="I33" i="1"/>
  <c r="D11" i="2" l="1"/>
  <c r="F11" i="2" s="1"/>
  <c r="F30" i="2" s="1"/>
  <c r="E53" i="2" s="1"/>
  <c r="H13" i="1"/>
  <c r="I13" i="1" s="1"/>
  <c r="K50" i="1" s="1"/>
  <c r="D61" i="2" l="1"/>
  <c r="E61" i="2" s="1"/>
  <c r="E54" i="2"/>
  <c r="I50" i="1"/>
  <c r="H73" i="1" s="1"/>
  <c r="H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1" authorId="0" shapeId="0" xr:uid="{00000000-0006-0000-0000-000001000000}">
      <text>
        <r>
          <rPr>
            <sz val="10"/>
            <color rgb="FF3F3F3F"/>
            <rFont val="Calibri"/>
            <family val="2"/>
            <scheme val="minor"/>
          </rPr>
          <t xml:space="preserve">E,.g. clothing &amp; personal care, groceries, general insurances, medical &amp; health (excluding insurance), rates, utilities, transport, education (not private), recreation &amp; entertainment
</t>
        </r>
      </text>
    </comment>
    <comment ref="D22" authorId="0" shapeId="0" xr:uid="{00000000-0006-0000-0000-000002000000}">
      <text>
        <r>
          <rPr>
            <sz val="10"/>
            <color rgb="FF3F3F3F"/>
            <rFont val="Calibri"/>
            <family val="2"/>
            <scheme val="minor"/>
          </rPr>
          <t>E.g. Child Maintenance/Support, Personal Insurances (e.g. Health, Life &amp; Trauma), Private School Fees, Body Corporate Fees, Child Care, Tithing, Rent/Board (nominal rent if living rent free)</t>
        </r>
      </text>
    </comment>
    <comment ref="D24" authorId="0" shapeId="0" xr:uid="{00000000-0006-0000-0000-000003000000}">
      <text>
        <r>
          <rPr>
            <sz val="10"/>
            <color rgb="FF3F3F3F"/>
            <rFont val="Calibri"/>
            <family val="2"/>
            <scheme val="minor"/>
          </rPr>
          <t xml:space="preserve">Higher of Declared or Benchmark plus Additional </t>
        </r>
      </text>
    </comment>
    <comment ref="F42" authorId="0" shapeId="0" xr:uid="{00000000-0006-0000-0000-000004000000}">
      <text>
        <r>
          <rPr>
            <sz val="10"/>
            <color rgb="FF3F3F3F"/>
            <rFont val="Calibri"/>
            <family val="2"/>
            <scheme val="minor"/>
          </rPr>
          <t>Post settlement credit card limit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16" authorId="0" shapeId="0" xr:uid="{00000000-0006-0000-0100-000001000000}">
      <text>
        <r>
          <rPr>
            <sz val="10"/>
            <color rgb="FF3F3F3F"/>
            <rFont val="Calibri"/>
            <family val="2"/>
            <scheme val="minor"/>
          </rPr>
          <t>Cathal Breslin:
Expenses aligned with AUS as at 16/10/17</t>
        </r>
      </text>
    </comment>
  </commentList>
</comments>
</file>

<file path=xl/sharedStrings.xml><?xml version="1.0" encoding="utf-8"?>
<sst xmlns="http://schemas.openxmlformats.org/spreadsheetml/2006/main" count="228" uniqueCount="160">
  <si>
    <t>SERVICEABILITY CALCULATOR</t>
  </si>
  <si>
    <t>CUSTOMER NAME:</t>
  </si>
  <si>
    <t>For our latest rates click here</t>
  </si>
  <si>
    <t>INCOME AVAILABLE</t>
  </si>
  <si>
    <t>Manual entry field</t>
  </si>
  <si>
    <t>Borrower 1</t>
  </si>
  <si>
    <t>Borrower 2</t>
  </si>
  <si>
    <t>Borrower 3</t>
  </si>
  <si>
    <t>Borrower 4</t>
  </si>
  <si>
    <t>calculation field</t>
  </si>
  <si>
    <t>Marital Status</t>
  </si>
  <si>
    <t>Expense</t>
  </si>
  <si>
    <t>Dependants</t>
  </si>
  <si>
    <t>Kiwi Saver</t>
  </si>
  <si>
    <t xml:space="preserve">Gross Income  </t>
  </si>
  <si>
    <t>Married</t>
  </si>
  <si>
    <t xml:space="preserve">Rental Income  </t>
  </si>
  <si>
    <t xml:space="preserve">OFI Stress - No. of years  </t>
  </si>
  <si>
    <t>Single</t>
  </si>
  <si>
    <t xml:space="preserve">Other Non Taxable Income  </t>
  </si>
  <si>
    <t xml:space="preserve">months in year  </t>
  </si>
  <si>
    <t>Defacto</t>
  </si>
  <si>
    <t xml:space="preserve">Total Gross Income  </t>
  </si>
  <si>
    <t>Number of Borrowers</t>
  </si>
  <si>
    <t>ACC Levy</t>
  </si>
  <si>
    <t xml:space="preserve">KiwiSaver  </t>
  </si>
  <si>
    <t>Divorced</t>
  </si>
  <si>
    <t xml:space="preserve">Net Income  </t>
  </si>
  <si>
    <t>Rent Cap</t>
  </si>
  <si>
    <t>Widowed</t>
  </si>
  <si>
    <t>TOTAL INCOME</t>
  </si>
  <si>
    <t>MONTHLY</t>
  </si>
  <si>
    <t>Total ACC Earner's Levy</t>
  </si>
  <si>
    <t>Other Income Haircut</t>
  </si>
  <si>
    <t>Other Debt Service</t>
  </si>
  <si>
    <t>Expense to Use</t>
  </si>
  <si>
    <t>EXPENSES</t>
  </si>
  <si>
    <t>PER MONTH</t>
  </si>
  <si>
    <t>Rent Haircut 3+</t>
  </si>
  <si>
    <t xml:space="preserve">Household Combination  </t>
  </si>
  <si>
    <t xml:space="preserve">Marital Status  </t>
  </si>
  <si>
    <t>Non-Loan Party</t>
  </si>
  <si>
    <t>Household 1</t>
  </si>
  <si>
    <t>Household 2</t>
  </si>
  <si>
    <t>Household 3</t>
  </si>
  <si>
    <t>Household 4</t>
  </si>
  <si>
    <t xml:space="preserve">No of Dependents  </t>
  </si>
  <si>
    <t>Applicant 1</t>
  </si>
  <si>
    <t xml:space="preserve">Declared Basic Living expenses  </t>
  </si>
  <si>
    <t>Applicant 2</t>
  </si>
  <si>
    <t xml:space="preserve">Additional Living Expenses  </t>
  </si>
  <si>
    <t>Applicant 3</t>
  </si>
  <si>
    <t xml:space="preserve">Benchmark Household Expenses  </t>
  </si>
  <si>
    <t>Applicant 4</t>
  </si>
  <si>
    <t xml:space="preserve">Servicing Living Expenses  </t>
  </si>
  <si>
    <t>N/A</t>
  </si>
  <si>
    <t xml:space="preserve">Other Mortgages  </t>
  </si>
  <si>
    <t>Loan 1</t>
  </si>
  <si>
    <t>Loan 2</t>
  </si>
  <si>
    <t>Loan 3</t>
  </si>
  <si>
    <t>Loan 4</t>
  </si>
  <si>
    <t>Assessed Expenses (max of benchmark or declared expenses plus additional)</t>
  </si>
  <si>
    <t xml:space="preserve">Loan Reference  </t>
  </si>
  <si>
    <t xml:space="preserve">Mortgage  Limit  </t>
  </si>
  <si>
    <t xml:space="preserve">Actual Monthly Repayment  </t>
  </si>
  <si>
    <t xml:space="preserve">Rate  </t>
  </si>
  <si>
    <t xml:space="preserve">Interest Rate at Stress  </t>
  </si>
  <si>
    <t>IO REPAY</t>
  </si>
  <si>
    <t>External Debt Floor Rate</t>
  </si>
  <si>
    <t xml:space="preserve">Repayment used for Servicing  </t>
  </si>
  <si>
    <t>External Debt Surplus</t>
  </si>
  <si>
    <t>Provider</t>
  </si>
  <si>
    <t>Limit</t>
  </si>
  <si>
    <t xml:space="preserve">Other Loan Repayments  </t>
  </si>
  <si>
    <t xml:space="preserve">Credit Cards Limit  </t>
  </si>
  <si>
    <t>INCOME AVAILABLE TO SERVICE MORTGAGE</t>
  </si>
  <si>
    <t>MORTGAGE FEATURE</t>
  </si>
  <si>
    <t xml:space="preserve">Loan Type  </t>
  </si>
  <si>
    <t>Variable</t>
  </si>
  <si>
    <t xml:space="preserve">Repay Type  </t>
  </si>
  <si>
    <t>Principal and Interest</t>
  </si>
  <si>
    <t xml:space="preserve">Interest Only Term  </t>
  </si>
  <si>
    <t>Investment Loading</t>
  </si>
  <si>
    <t xml:space="preserve">Loan Purpose  </t>
  </si>
  <si>
    <t xml:space="preserve">Security Value  </t>
  </si>
  <si>
    <t>Fixed (One Year)</t>
  </si>
  <si>
    <t xml:space="preserve">Loan Amount  </t>
  </si>
  <si>
    <t xml:space="preserve">LVR  </t>
  </si>
  <si>
    <t>Fixed (Two Year)</t>
  </si>
  <si>
    <t xml:space="preserve">Term (years)  </t>
  </si>
  <si>
    <t>Fixed (Three Year)</t>
  </si>
  <si>
    <t xml:space="preserve">Interest Rate  </t>
  </si>
  <si>
    <t>Fixed (Four Year)</t>
  </si>
  <si>
    <t xml:space="preserve">Loan Splits  </t>
  </si>
  <si>
    <t>Fixed (Five Year)</t>
  </si>
  <si>
    <t xml:space="preserve">Monthly Account Fee  </t>
  </si>
  <si>
    <t>Loan Splits</t>
  </si>
  <si>
    <t>Floor Rate</t>
  </si>
  <si>
    <t xml:space="preserve">Loan Repayment  </t>
  </si>
  <si>
    <t>Lowest Rate</t>
  </si>
  <si>
    <t>SERVICEABILITY CALCULATION</t>
  </si>
  <si>
    <t>PER ANNUM</t>
  </si>
  <si>
    <t>Stressed Interest Rate</t>
  </si>
  <si>
    <t>Loan Repayment</t>
  </si>
  <si>
    <t>Normal</t>
  </si>
  <si>
    <t>Stressed</t>
  </si>
  <si>
    <t>Payment Coverage</t>
  </si>
  <si>
    <t>Surplus</t>
  </si>
  <si>
    <t>Surplus at Stress</t>
  </si>
  <si>
    <t>Result</t>
  </si>
  <si>
    <t>BLUESTONE MORTGAGES SERVICEABILITY CALCULATOR</t>
  </si>
  <si>
    <t>&lt;ENTER INPUTS&gt;</t>
  </si>
  <si>
    <t>Gross</t>
  </si>
  <si>
    <t>Net</t>
  </si>
  <si>
    <t>Income Borrower 1</t>
  </si>
  <si>
    <t>Income Borrower 2</t>
  </si>
  <si>
    <t>Income Borrower 3</t>
  </si>
  <si>
    <t>Income Borrower 4</t>
  </si>
  <si>
    <t>Annual Rents</t>
  </si>
  <si>
    <t>Other Income (e.g. Pension etc NET figure)</t>
  </si>
  <si>
    <t>TOTAL</t>
  </si>
  <si>
    <t>Rent Haircut</t>
  </si>
  <si>
    <t># borrowers</t>
  </si>
  <si>
    <t>LIVING</t>
  </si>
  <si>
    <t>No of Dependants</t>
  </si>
  <si>
    <t>Optional: additional expense (if more than 1 borrower)</t>
  </si>
  <si>
    <t>Living Expenses</t>
  </si>
  <si>
    <t>OTHER LOAN REPAYMENTS</t>
  </si>
  <si>
    <t>CREDIT CARDS LIMIT</t>
  </si>
  <si>
    <t>credit card servicing cost</t>
  </si>
  <si>
    <t>per month</t>
  </si>
  <si>
    <t>per annum</t>
  </si>
  <si>
    <t>Repay Type</t>
  </si>
  <si>
    <t>Interest Only Term</t>
  </si>
  <si>
    <t>Amount</t>
  </si>
  <si>
    <t>Tax Rates effective  01/04/2020. Incl ACC</t>
  </si>
  <si>
    <t>Term</t>
  </si>
  <si>
    <t>Tax Boundary</t>
  </si>
  <si>
    <t>Tax Due</t>
  </si>
  <si>
    <t>Excess %</t>
  </si>
  <si>
    <t>Interest Rate</t>
  </si>
  <si>
    <t>status</t>
  </si>
  <si>
    <t>ANNUAL INCOME:</t>
  </si>
  <si>
    <t>Tax Due on Boundary</t>
  </si>
  <si>
    <t>% Due on Excess</t>
  </si>
  <si>
    <t>Tax due on Income:</t>
  </si>
  <si>
    <t>NET INCOME (per annum):</t>
  </si>
  <si>
    <t>CHECK</t>
  </si>
  <si>
    <t>Property Value</t>
  </si>
  <si>
    <t>LVR Band</t>
  </si>
  <si>
    <t>Version No.</t>
  </si>
  <si>
    <t>Author / Changes Made By:</t>
  </si>
  <si>
    <t>Date:</t>
  </si>
  <si>
    <t>Change Summary</t>
  </si>
  <si>
    <t>Change Detail</t>
  </si>
  <si>
    <t>Aaron Taylor</t>
  </si>
  <si>
    <t>Introduction of 2.0 Calculator</t>
  </si>
  <si>
    <t>Tyler Peters</t>
  </si>
  <si>
    <t>Rental shading adjusted and $500 surplus removed</t>
  </si>
  <si>
    <t>IO terms include 1-5years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</si>
</sst>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[=0]&quot;&lt;no other income entered&gt;&quot;;#,##0"/>
    <numFmt numFmtId="165" formatCode="[=0]&quot;&quot;;#,##0"/>
    <numFmt numFmtId="166" formatCode="[=0]&quot;&quot;;#,##0.00"/>
    <numFmt numFmtId="167" formatCode="0.000%"/>
    <numFmt numFmtId="168" formatCode="[=0]&quot;&lt;enter income of borrower 4&gt;&quot;;#,##0"/>
    <numFmt numFmtId="169" formatCode="0&quot; dependents&quot;;;&quot;zero dependents&quot;"/>
    <numFmt numFmtId="170" formatCode="[=0]&quot;&lt;no declared living expenses&gt;&quot;;#,##0"/>
    <numFmt numFmtId="171" formatCode="#,##0\ &quot;MTH&quot;"/>
    <numFmt numFmtId="172" formatCode="[=0]&quot;&lt;no loan term entered&gt;&quot;;#,##0\ &quot;YR&quot;"/>
    <numFmt numFmtId="173" formatCode="[=0]&quot;&lt;no loan amount entered&gt;&quot;;#,##0"/>
    <numFmt numFmtId="174" formatCode="_-&quot;$&quot;* #,##0_-;\-&quot;$&quot;* #,##0_-;_-&quot;$&quot;* &quot;-&quot;??_-;_-@"/>
    <numFmt numFmtId="175" formatCode="[=0]&quot;nil&quot;;#,##0.00\ &quot;x&quot;"/>
    <numFmt numFmtId="176" formatCode="[=0]&quot;&lt;enter income of borrower 1&gt;&quot;;#,##0"/>
    <numFmt numFmtId="177" formatCode="[=0]&quot;&lt;enter income of borrower 2&gt;&quot;;#,##0"/>
    <numFmt numFmtId="178" formatCode="[=0]&quot;&lt;enter income of borrower 3&gt;&quot;;#,##0"/>
    <numFmt numFmtId="179" formatCode="[=0]&quot;&lt;no annual rent entered&gt;&quot;;#,##0"/>
    <numFmt numFmtId="180" formatCode="&quot;$&quot;#,##0.00"/>
    <numFmt numFmtId="181" formatCode="[=0]&quot;zero dependents&quot;;#,##0"/>
    <numFmt numFmtId="182" formatCode="[=0]&quot;no IO term entered&quot;;#,##0\ &quot;YR&quot;"/>
    <numFmt numFmtId="183" formatCode="General_);General_);0_);@_)"/>
    <numFmt numFmtId="184" formatCode="[=0]&quot;&lt;no loan rate entered&gt;&quot;;0.00%"/>
    <numFmt numFmtId="185" formatCode="0.0%"/>
    <numFmt numFmtId="186" formatCode="&quot;$&quot;#,##0.00_);[Red]\(&quot;$&quot;#,##0.00\)"/>
    <numFmt numFmtId="187" formatCode="&quot;$&quot;#,##0_);[Red]\(&quot;$&quot;#,##0\)"/>
    <numFmt numFmtId="188" formatCode="_(&quot;$&quot;* #,##0_);_(&quot;$&quot;* \(#,##0\);_(&quot;$&quot;* &quot;-&quot;??_);_(@_)"/>
    <numFmt numFmtId="189" formatCode="_(&quot;$&quot;* #,##0.00_);_(&quot;$&quot;* \(#,##0.00\);_(&quot;$&quot;* &quot;-&quot;??_);_(@_)"/>
    <numFmt numFmtId="190" formatCode="#,##0.0"/>
    <numFmt numFmtId="191" formatCode="0.0"/>
    <numFmt numFmtId="192" formatCode="d/m/yyyy"/>
  </numFmts>
  <fonts count="64" x14ac:knownFonts="1">
    <font>
      <sz val="10"/>
      <color rgb="FF3F3F3F"/>
      <name val="Calibri"/>
      <scheme val="minor"/>
    </font>
    <font>
      <sz val="10"/>
      <color rgb="FF3F3F3F"/>
      <name val="Verdana"/>
      <family val="2"/>
    </font>
    <font>
      <sz val="8"/>
      <color theme="1"/>
      <name val="Verdana"/>
      <family val="2"/>
    </font>
    <font>
      <sz val="10"/>
      <color rgb="FF000000"/>
      <name val="Verdana"/>
      <family val="2"/>
    </font>
    <font>
      <b/>
      <sz val="22"/>
      <color rgb="FF07A99B"/>
      <name val="Verdana"/>
      <family val="2"/>
    </font>
    <font>
      <sz val="10"/>
      <color theme="1"/>
      <name val="Verdana"/>
      <family val="2"/>
    </font>
    <font>
      <b/>
      <sz val="12"/>
      <color rgb="FF07A99B"/>
      <name val="Verdana"/>
      <family val="2"/>
    </font>
    <font>
      <b/>
      <u/>
      <sz val="10"/>
      <color rgb="FF000000"/>
      <name val="Verdana"/>
      <family val="2"/>
    </font>
    <font>
      <sz val="12"/>
      <color rgb="FF000000"/>
      <name val="Verdana"/>
      <family val="2"/>
    </font>
    <font>
      <sz val="12"/>
      <color rgb="FFFFFFFF"/>
      <name val="Verdana"/>
      <family val="2"/>
    </font>
    <font>
      <sz val="12"/>
      <color rgb="FF3F3F3F"/>
      <name val="Verdana"/>
      <family val="2"/>
    </font>
    <font>
      <sz val="12"/>
      <color rgb="FF0000FF"/>
      <name val="Verdana"/>
      <family val="2"/>
    </font>
    <font>
      <b/>
      <sz val="10"/>
      <color theme="1"/>
      <name val="Verdana"/>
      <family val="2"/>
    </font>
    <font>
      <b/>
      <sz val="10"/>
      <color rgb="FF434343"/>
      <name val="Verdana"/>
      <family val="2"/>
    </font>
    <font>
      <sz val="8"/>
      <color rgb="FF000000"/>
      <name val="Verdana"/>
      <family val="2"/>
    </font>
    <font>
      <sz val="10"/>
      <color rgb="FF434343"/>
      <name val="Verdana"/>
      <family val="2"/>
    </font>
    <font>
      <sz val="10"/>
      <color rgb="FF434343"/>
      <name val="Verdana"/>
      <family val="2"/>
    </font>
    <font>
      <sz val="8"/>
      <color rgb="FF0000FF"/>
      <name val="Verdana"/>
      <family val="2"/>
    </font>
    <font>
      <sz val="10"/>
      <color rgb="FF366092"/>
      <name val="Verdana"/>
      <family val="2"/>
    </font>
    <font>
      <b/>
      <sz val="10"/>
      <color rgb="FF434343"/>
      <name val="Verdana"/>
      <family val="2"/>
    </font>
    <font>
      <sz val="12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u/>
      <sz val="10"/>
      <color rgb="FF434343"/>
      <name val="Verdana"/>
      <family val="2"/>
    </font>
    <font>
      <b/>
      <sz val="10"/>
      <color rgb="FF000000"/>
      <name val="Verdana"/>
      <family val="2"/>
    </font>
    <font>
      <u/>
      <sz val="10"/>
      <color rgb="FF366092"/>
      <name val="Verdana"/>
      <family val="2"/>
    </font>
    <font>
      <u/>
      <sz val="10"/>
      <color rgb="FF366092"/>
      <name val="Verdana"/>
      <family val="2"/>
    </font>
    <font>
      <sz val="10"/>
      <color theme="1"/>
      <name val="Verdana"/>
      <family val="2"/>
    </font>
    <font>
      <b/>
      <sz val="10"/>
      <color rgb="FF366092"/>
      <name val="Verdana"/>
      <family val="2"/>
    </font>
    <font>
      <u/>
      <sz val="10"/>
      <color rgb="FF366092"/>
      <name val="Verdana"/>
      <family val="2"/>
    </font>
    <font>
      <sz val="10"/>
      <name val="Calibri"/>
      <family val="2"/>
    </font>
    <font>
      <b/>
      <sz val="12"/>
      <color rgb="FFFFFFFF"/>
      <name val="Verdana"/>
      <family val="2"/>
    </font>
    <font>
      <b/>
      <sz val="12"/>
      <color rgb="FF000000"/>
      <name val="Verdana"/>
      <family val="2"/>
    </font>
    <font>
      <b/>
      <sz val="12"/>
      <color rgb="FF3F3F3F"/>
      <name val="Verdana"/>
      <family val="2"/>
    </font>
    <font>
      <b/>
      <sz val="12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7E3794"/>
      <name val="Verdana"/>
      <family val="2"/>
    </font>
    <font>
      <u/>
      <sz val="10"/>
      <color rgb="FF366092"/>
      <name val="Verdana"/>
      <family val="2"/>
    </font>
    <font>
      <u/>
      <sz val="10"/>
      <color rgb="FF366092"/>
      <name val="Verdana"/>
      <family val="2"/>
    </font>
    <font>
      <sz val="10"/>
      <color rgb="FFFF0000"/>
      <name val="Verdana"/>
      <family val="2"/>
    </font>
    <font>
      <sz val="16"/>
      <color rgb="FFFFFFFF"/>
      <name val="Arial"/>
      <family val="2"/>
    </font>
    <font>
      <sz val="10"/>
      <color rgb="FF3F3F3F"/>
      <name val="Calibri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b/>
      <sz val="10"/>
      <color rgb="FF3F3F3F"/>
      <name val="Calibri"/>
      <family val="2"/>
    </font>
    <font>
      <u/>
      <sz val="8"/>
      <color rgb="FF39ADDC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sz val="10"/>
      <color rgb="FFD8D8D8"/>
      <name val="Arial"/>
      <family val="2"/>
    </font>
    <font>
      <b/>
      <sz val="10"/>
      <color rgb="FF3F3F3F"/>
      <name val="Calibri"/>
      <family val="2"/>
    </font>
    <font>
      <sz val="10"/>
      <color theme="1"/>
      <name val="Calibri"/>
      <family val="2"/>
    </font>
    <font>
      <sz val="10"/>
      <color rgb="FF3F3F3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9CB9C"/>
        <bgColor rgb="FFF9CB9C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rgb="FFDBE5F1"/>
        <bgColor rgb="FFDBE5F1"/>
      </patternFill>
    </fill>
    <fill>
      <patternFill patternType="solid">
        <fgColor rgb="FFD9D9D9"/>
        <bgColor rgb="FFD9D9D9"/>
      </patternFill>
    </fill>
    <fill>
      <patternFill patternType="solid">
        <fgColor rgb="FFDAEFF0"/>
        <bgColor rgb="FFDAEFF0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366092"/>
        <bgColor rgb="FF366092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66092"/>
      </left>
      <right/>
      <top/>
      <bottom style="thin">
        <color rgb="FF36609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/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000000"/>
      </right>
      <top/>
      <bottom style="thin">
        <color rgb="FF666666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366092"/>
      </right>
      <top style="thin">
        <color rgb="FF366092"/>
      </top>
      <bottom style="thin">
        <color rgb="FF366092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366092"/>
      </bottom>
      <diagonal/>
    </border>
    <border>
      <left style="thin">
        <color rgb="FF666666"/>
      </left>
      <right style="thin">
        <color rgb="FF000000"/>
      </right>
      <top style="thin">
        <color rgb="FF366092"/>
      </top>
      <bottom style="thin">
        <color rgb="FF666666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666666"/>
      </bottom>
      <diagonal/>
    </border>
    <border>
      <left/>
      <right/>
      <top/>
      <bottom/>
      <diagonal/>
    </border>
    <border>
      <left style="thin">
        <color rgb="FF666666"/>
      </left>
      <right style="thin">
        <color rgb="FF000000"/>
      </right>
      <top style="thin">
        <color rgb="FF666666"/>
      </top>
      <bottom/>
      <diagonal/>
    </border>
    <border>
      <left/>
      <right style="thin">
        <color rgb="FF000000"/>
      </right>
      <top style="thin">
        <color rgb="FF366092"/>
      </top>
      <bottom style="thin">
        <color rgb="FF366092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2" borderId="1" xfId="0" applyFont="1" applyFill="1" applyBorder="1"/>
    <xf numFmtId="0" fontId="5" fillId="0" borderId="0" xfId="0" applyFont="1"/>
    <xf numFmtId="0" fontId="3" fillId="2" borderId="0" xfId="0" applyFont="1" applyFill="1"/>
    <xf numFmtId="0" fontId="2" fillId="2" borderId="1" xfId="0" applyFont="1" applyFill="1" applyBorder="1"/>
    <xf numFmtId="0" fontId="8" fillId="2" borderId="2" xfId="0" applyFont="1" applyFill="1" applyBorder="1"/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2" borderId="6" xfId="0" applyFont="1" applyFill="1" applyBorder="1"/>
    <xf numFmtId="0" fontId="9" fillId="2" borderId="1" xfId="0" applyFont="1" applyFill="1" applyBorder="1"/>
    <xf numFmtId="0" fontId="8" fillId="2" borderId="1" xfId="0" applyFont="1" applyFill="1" applyBorder="1"/>
    <xf numFmtId="0" fontId="10" fillId="2" borderId="1" xfId="0" applyFont="1" applyFill="1" applyBorder="1"/>
    <xf numFmtId="0" fontId="11" fillId="0" borderId="0" xfId="0" applyFont="1" applyAlignment="1">
      <alignment vertical="center"/>
    </xf>
    <xf numFmtId="0" fontId="10" fillId="0" borderId="0" xfId="0" applyFont="1"/>
    <xf numFmtId="0" fontId="3" fillId="2" borderId="2" xfId="0" applyFont="1" applyFill="1" applyBorder="1"/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/>
    <xf numFmtId="0" fontId="12" fillId="2" borderId="9" xfId="0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6" xfId="0" applyFont="1" applyFill="1" applyBorder="1"/>
    <xf numFmtId="0" fontId="3" fillId="0" borderId="0" xfId="0" applyFont="1"/>
    <xf numFmtId="0" fontId="14" fillId="5" borderId="3" xfId="0" applyFont="1" applyFill="1" applyBorder="1" applyAlignment="1">
      <alignment horizontal="right" vertical="top"/>
    </xf>
    <xf numFmtId="0" fontId="14" fillId="5" borderId="4" xfId="0" applyFont="1" applyFill="1" applyBorder="1" applyAlignment="1">
      <alignment horizontal="right" vertical="top"/>
    </xf>
    <xf numFmtId="0" fontId="14" fillId="5" borderId="5" xfId="0" applyFont="1" applyFill="1" applyBorder="1" applyAlignment="1">
      <alignment horizontal="right" vertical="top"/>
    </xf>
    <xf numFmtId="0" fontId="14" fillId="5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right"/>
    </xf>
    <xf numFmtId="0" fontId="3" fillId="2" borderId="14" xfId="0" applyFont="1" applyFill="1" applyBorder="1"/>
    <xf numFmtId="4" fontId="3" fillId="2" borderId="6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1" fillId="0" borderId="0" xfId="0" applyNumberFormat="1" applyFont="1"/>
    <xf numFmtId="0" fontId="2" fillId="0" borderId="15" xfId="0" applyFont="1" applyBorder="1" applyAlignment="1">
      <alignment horizontal="right"/>
    </xf>
    <xf numFmtId="1" fontId="17" fillId="0" borderId="0" xfId="0" applyNumberFormat="1" applyFont="1" applyAlignment="1">
      <alignment horizontal="right"/>
    </xf>
    <xf numFmtId="1" fontId="17" fillId="0" borderId="12" xfId="0" applyNumberFormat="1" applyFont="1" applyBorder="1" applyAlignment="1">
      <alignment horizontal="right"/>
    </xf>
    <xf numFmtId="9" fontId="17" fillId="0" borderId="16" xfId="0" applyNumberFormat="1" applyFont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7" fillId="0" borderId="13" xfId="0" applyFont="1" applyBorder="1"/>
    <xf numFmtId="3" fontId="2" fillId="0" borderId="15" xfId="0" applyNumberFormat="1" applyFont="1" applyBorder="1" applyAlignment="1">
      <alignment horizontal="right"/>
    </xf>
    <xf numFmtId="0" fontId="1" fillId="2" borderId="2" xfId="0" applyFont="1" applyFill="1" applyBorder="1"/>
    <xf numFmtId="0" fontId="16" fillId="2" borderId="2" xfId="0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right" vertical="center"/>
    </xf>
    <xf numFmtId="166" fontId="18" fillId="7" borderId="17" xfId="0" applyNumberFormat="1" applyFont="1" applyFill="1" applyBorder="1" applyAlignment="1">
      <alignment horizontal="right" vertical="center"/>
    </xf>
    <xf numFmtId="167" fontId="17" fillId="0" borderId="13" xfId="0" applyNumberFormat="1" applyFont="1" applyBorder="1" applyAlignment="1">
      <alignment horizontal="right"/>
    </xf>
    <xf numFmtId="2" fontId="17" fillId="0" borderId="13" xfId="0" applyNumberFormat="1" applyFont="1" applyBorder="1" applyAlignment="1">
      <alignment horizontal="right"/>
    </xf>
    <xf numFmtId="165" fontId="16" fillId="5" borderId="13" xfId="0" applyNumberFormat="1" applyFont="1" applyFill="1" applyBorder="1" applyAlignment="1">
      <alignment horizontal="right" vertical="center"/>
    </xf>
    <xf numFmtId="9" fontId="17" fillId="0" borderId="13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1" fontId="17" fillId="0" borderId="9" xfId="0" applyNumberFormat="1" applyFont="1" applyBorder="1" applyAlignment="1">
      <alignment horizontal="right"/>
    </xf>
    <xf numFmtId="1" fontId="17" fillId="0" borderId="19" xfId="0" applyNumberFormat="1" applyFont="1" applyBorder="1" applyAlignment="1">
      <alignment horizontal="right"/>
    </xf>
    <xf numFmtId="0" fontId="3" fillId="2" borderId="20" xfId="0" applyFont="1" applyFill="1" applyBorder="1"/>
    <xf numFmtId="3" fontId="19" fillId="2" borderId="20" xfId="0" applyNumberFormat="1" applyFont="1" applyFill="1" applyBorder="1" applyAlignment="1">
      <alignment horizontal="right"/>
    </xf>
    <xf numFmtId="3" fontId="19" fillId="2" borderId="20" xfId="0" applyNumberFormat="1" applyFont="1" applyFill="1" applyBorder="1" applyAlignment="1">
      <alignment horizontal="center"/>
    </xf>
    <xf numFmtId="3" fontId="19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/>
    <xf numFmtId="0" fontId="16" fillId="2" borderId="1" xfId="0" applyFont="1" applyFill="1" applyBorder="1" applyAlignment="1">
      <alignment horizontal="right" vertical="center"/>
    </xf>
    <xf numFmtId="166" fontId="19" fillId="5" borderId="23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9" fontId="17" fillId="0" borderId="24" xfId="0" applyNumberFormat="1" applyFont="1" applyBorder="1" applyAlignment="1">
      <alignment horizontal="center"/>
    </xf>
    <xf numFmtId="0" fontId="3" fillId="2" borderId="25" xfId="0" applyFont="1" applyFill="1" applyBorder="1"/>
    <xf numFmtId="0" fontId="13" fillId="2" borderId="0" xfId="0" applyFont="1" applyFill="1" applyAlignment="1">
      <alignment horizontal="right"/>
    </xf>
    <xf numFmtId="165" fontId="19" fillId="5" borderId="13" xfId="0" applyNumberFormat="1" applyFont="1" applyFill="1" applyBorder="1" applyAlignment="1">
      <alignment horizontal="right" vertical="center"/>
    </xf>
    <xf numFmtId="3" fontId="19" fillId="5" borderId="13" xfId="0" applyNumberFormat="1" applyFont="1" applyFill="1" applyBorder="1" applyAlignment="1">
      <alignment horizontal="right" vertical="center"/>
    </xf>
    <xf numFmtId="0" fontId="5" fillId="0" borderId="12" xfId="0" applyFont="1" applyBorder="1"/>
    <xf numFmtId="10" fontId="17" fillId="0" borderId="13" xfId="0" applyNumberFormat="1" applyFont="1" applyBorder="1" applyAlignment="1">
      <alignment horizontal="right"/>
    </xf>
    <xf numFmtId="1" fontId="2" fillId="0" borderId="26" xfId="0" applyNumberFormat="1" applyFont="1" applyBorder="1"/>
    <xf numFmtId="1" fontId="17" fillId="0" borderId="27" xfId="0" applyNumberFormat="1" applyFont="1" applyBorder="1"/>
    <xf numFmtId="0" fontId="9" fillId="3" borderId="28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right" vertical="center"/>
    </xf>
    <xf numFmtId="168" fontId="16" fillId="6" borderId="29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/>
    <xf numFmtId="0" fontId="16" fillId="2" borderId="4" xfId="0" applyFont="1" applyFill="1" applyBorder="1" applyAlignment="1">
      <alignment horizontal="right" vertical="center"/>
    </xf>
    <xf numFmtId="0" fontId="1" fillId="2" borderId="4" xfId="0" applyFont="1" applyFill="1" applyBorder="1"/>
    <xf numFmtId="0" fontId="16" fillId="2" borderId="30" xfId="0" applyFont="1" applyFill="1" applyBorder="1" applyAlignment="1">
      <alignment vertical="center"/>
    </xf>
    <xf numFmtId="0" fontId="20" fillId="0" borderId="0" xfId="0" applyFont="1"/>
    <xf numFmtId="4" fontId="10" fillId="0" borderId="0" xfId="0" applyNumberFormat="1" applyFont="1"/>
    <xf numFmtId="0" fontId="16" fillId="2" borderId="8" xfId="0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22" fillId="2" borderId="0" xfId="0" applyFont="1" applyFill="1" applyAlignment="1">
      <alignment horizontal="right"/>
    </xf>
    <xf numFmtId="0" fontId="1" fillId="2" borderId="31" xfId="0" applyFont="1" applyFill="1" applyBorder="1"/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" fillId="5" borderId="32" xfId="0" applyFont="1" applyFill="1" applyBorder="1" applyAlignment="1">
      <alignment horizontal="right"/>
    </xf>
    <xf numFmtId="3" fontId="22" fillId="2" borderId="0" xfId="0" applyNumberFormat="1" applyFont="1" applyFill="1" applyAlignment="1">
      <alignment horizontal="center"/>
    </xf>
    <xf numFmtId="0" fontId="2" fillId="0" borderId="12" xfId="0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5" fillId="0" borderId="19" xfId="0" applyFont="1" applyBorder="1"/>
    <xf numFmtId="3" fontId="16" fillId="5" borderId="33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3" fillId="2" borderId="34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right" vertical="center"/>
    </xf>
    <xf numFmtId="0" fontId="15" fillId="0" borderId="0" xfId="0" applyFont="1"/>
    <xf numFmtId="0" fontId="16" fillId="0" borderId="12" xfId="0" applyFont="1" applyBorder="1"/>
    <xf numFmtId="0" fontId="14" fillId="5" borderId="13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 vertical="center"/>
    </xf>
    <xf numFmtId="3" fontId="12" fillId="2" borderId="9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10" fontId="16" fillId="8" borderId="35" xfId="0" applyNumberFormat="1" applyFont="1" applyFill="1" applyBorder="1" applyAlignment="1">
      <alignment vertical="center"/>
    </xf>
    <xf numFmtId="171" fontId="18" fillId="7" borderId="13" xfId="0" applyNumberFormat="1" applyFont="1" applyFill="1" applyBorder="1" applyAlignment="1">
      <alignment horizontal="right" vertical="center"/>
    </xf>
    <xf numFmtId="10" fontId="2" fillId="9" borderId="1" xfId="0" applyNumberFormat="1" applyFont="1" applyFill="1" applyBorder="1"/>
    <xf numFmtId="10" fontId="17" fillId="0" borderId="16" xfId="0" applyNumberFormat="1" applyFont="1" applyBorder="1" applyAlignment="1">
      <alignment horizontal="right"/>
    </xf>
    <xf numFmtId="3" fontId="16" fillId="5" borderId="36" xfId="0" applyNumberFormat="1" applyFont="1" applyFill="1" applyBorder="1" applyAlignment="1">
      <alignment horizontal="right" vertical="center"/>
    </xf>
    <xf numFmtId="3" fontId="3" fillId="5" borderId="36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10" fontId="18" fillId="7" borderId="13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3" fontId="3" fillId="2" borderId="2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18" fillId="5" borderId="13" xfId="0" applyNumberFormat="1" applyFont="1" applyFill="1" applyBorder="1" applyAlignment="1">
      <alignment horizontal="right" vertical="center"/>
    </xf>
    <xf numFmtId="3" fontId="24" fillId="2" borderId="0" xfId="0" applyNumberFormat="1" applyFont="1" applyFill="1" applyAlignment="1">
      <alignment horizontal="right" vertical="top"/>
    </xf>
    <xf numFmtId="0" fontId="25" fillId="2" borderId="0" xfId="0" applyFont="1" applyFill="1" applyAlignment="1">
      <alignment horizontal="right" vertical="center"/>
    </xf>
    <xf numFmtId="0" fontId="26" fillId="2" borderId="1" xfId="0" applyFont="1" applyFill="1" applyBorder="1" applyAlignment="1">
      <alignment horizontal="right" vertical="center"/>
    </xf>
    <xf numFmtId="0" fontId="3" fillId="2" borderId="31" xfId="0" applyFont="1" applyFill="1" applyBorder="1"/>
    <xf numFmtId="0" fontId="3" fillId="2" borderId="37" xfId="0" applyFont="1" applyFill="1" applyBorder="1" applyAlignment="1">
      <alignment horizontal="left"/>
    </xf>
    <xf numFmtId="0" fontId="3" fillId="2" borderId="38" xfId="0" applyFont="1" applyFill="1" applyBorder="1"/>
    <xf numFmtId="0" fontId="3" fillId="2" borderId="39" xfId="0" applyFont="1" applyFill="1" applyBorder="1"/>
    <xf numFmtId="0" fontId="16" fillId="2" borderId="12" xfId="0" applyFont="1" applyFill="1" applyBorder="1" applyAlignment="1">
      <alignment horizontal="right" vertical="center"/>
    </xf>
    <xf numFmtId="172" fontId="27" fillId="0" borderId="0" xfId="0" applyNumberFormat="1" applyFont="1" applyAlignment="1">
      <alignment horizontal="right" vertical="center"/>
    </xf>
    <xf numFmtId="0" fontId="3" fillId="2" borderId="40" xfId="0" applyFont="1" applyFill="1" applyBorder="1" applyAlignment="1">
      <alignment horizontal="left"/>
    </xf>
    <xf numFmtId="0" fontId="3" fillId="2" borderId="41" xfId="0" applyFont="1" applyFill="1" applyBorder="1"/>
    <xf numFmtId="0" fontId="3" fillId="2" borderId="41" xfId="0" applyFont="1" applyFill="1" applyBorder="1" applyAlignment="1">
      <alignment horizontal="right"/>
    </xf>
    <xf numFmtId="0" fontId="3" fillId="2" borderId="42" xfId="0" applyFont="1" applyFill="1" applyBorder="1"/>
    <xf numFmtId="3" fontId="3" fillId="0" borderId="9" xfId="0" applyNumberFormat="1" applyFont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3" fillId="2" borderId="41" xfId="0" applyNumberFormat="1" applyFont="1" applyFill="1" applyBorder="1" applyAlignment="1">
      <alignment horizontal="right"/>
    </xf>
    <xf numFmtId="0" fontId="3" fillId="0" borderId="19" xfId="0" applyFont="1" applyBorder="1"/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/>
    </xf>
    <xf numFmtId="3" fontId="19" fillId="5" borderId="33" xfId="0" applyNumberFormat="1" applyFont="1" applyFill="1" applyBorder="1" applyAlignment="1">
      <alignment horizontal="right" vertical="center"/>
    </xf>
    <xf numFmtId="3" fontId="28" fillId="5" borderId="43" xfId="0" applyNumberFormat="1" applyFont="1" applyFill="1" applyBorder="1" applyAlignment="1">
      <alignment horizontal="right" vertical="center"/>
    </xf>
    <xf numFmtId="0" fontId="9" fillId="3" borderId="37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right" vertical="center"/>
    </xf>
    <xf numFmtId="0" fontId="9" fillId="3" borderId="44" xfId="0" applyFont="1" applyFill="1" applyBorder="1" applyAlignment="1">
      <alignment horizontal="right" vertical="center"/>
    </xf>
    <xf numFmtId="0" fontId="29" fillId="2" borderId="31" xfId="0" applyFont="1" applyFill="1" applyBorder="1" applyAlignment="1">
      <alignment horizontal="right" vertical="center"/>
    </xf>
    <xf numFmtId="0" fontId="8" fillId="2" borderId="31" xfId="0" applyFont="1" applyFill="1" applyBorder="1"/>
    <xf numFmtId="0" fontId="10" fillId="2" borderId="31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6" fillId="2" borderId="4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6" fillId="2" borderId="48" xfId="0" applyFont="1" applyFill="1" applyBorder="1" applyAlignment="1">
      <alignment vertical="center"/>
    </xf>
    <xf numFmtId="172" fontId="18" fillId="2" borderId="0" xfId="0" applyNumberFormat="1" applyFont="1" applyFill="1" applyAlignment="1">
      <alignment horizontal="right" vertical="center"/>
    </xf>
    <xf numFmtId="0" fontId="1" fillId="2" borderId="8" xfId="0" applyFont="1" applyFill="1" applyBorder="1"/>
    <xf numFmtId="0" fontId="1" fillId="2" borderId="3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3" fontId="18" fillId="2" borderId="0" xfId="0" applyNumberFormat="1" applyFont="1" applyFill="1" applyAlignment="1">
      <alignment horizontal="right" vertical="center"/>
    </xf>
    <xf numFmtId="0" fontId="31" fillId="2" borderId="1" xfId="0" applyFont="1" applyFill="1" applyBorder="1"/>
    <xf numFmtId="0" fontId="32" fillId="2" borderId="1" xfId="0" applyFont="1" applyFill="1" applyBorder="1"/>
    <xf numFmtId="0" fontId="33" fillId="2" borderId="1" xfId="0" applyFont="1" applyFill="1" applyBorder="1"/>
    <xf numFmtId="0" fontId="33" fillId="0" borderId="0" xfId="0" applyFont="1"/>
    <xf numFmtId="0" fontId="34" fillId="0" borderId="0" xfId="0" applyFont="1"/>
    <xf numFmtId="0" fontId="24" fillId="2" borderId="34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/>
    </xf>
    <xf numFmtId="0" fontId="16" fillId="2" borderId="44" xfId="0" applyFont="1" applyFill="1" applyBorder="1" applyAlignment="1">
      <alignment horizontal="left" vertical="center"/>
    </xf>
    <xf numFmtId="0" fontId="2" fillId="0" borderId="13" xfId="0" applyFont="1" applyBorder="1"/>
    <xf numFmtId="10" fontId="17" fillId="0" borderId="13" xfId="0" applyNumberFormat="1" applyFont="1" applyBorder="1"/>
    <xf numFmtId="174" fontId="3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6" fillId="2" borderId="6" xfId="0" applyFont="1" applyFill="1" applyBorder="1" applyAlignment="1">
      <alignment horizontal="right" vertical="center"/>
    </xf>
    <xf numFmtId="10" fontId="16" fillId="5" borderId="3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21" xfId="0" applyFont="1" applyFill="1" applyBorder="1" applyAlignment="1">
      <alignment horizontal="left" vertical="center"/>
    </xf>
    <xf numFmtId="171" fontId="16" fillId="5" borderId="54" xfId="0" applyNumberFormat="1" applyFont="1" applyFill="1" applyBorder="1" applyAlignment="1">
      <alignment horizontal="right" vertical="center"/>
    </xf>
    <xf numFmtId="0" fontId="16" fillId="2" borderId="6" xfId="0" applyFont="1" applyFill="1" applyBorder="1" applyAlignment="1">
      <alignment vertical="center"/>
    </xf>
    <xf numFmtId="10" fontId="16" fillId="5" borderId="55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center"/>
    </xf>
    <xf numFmtId="0" fontId="3" fillId="2" borderId="51" xfId="0" applyFont="1" applyFill="1" applyBorder="1"/>
    <xf numFmtId="0" fontId="16" fillId="2" borderId="8" xfId="0" applyFont="1" applyFill="1" applyBorder="1" applyAlignment="1">
      <alignment vertical="center"/>
    </xf>
    <xf numFmtId="0" fontId="16" fillId="6" borderId="13" xfId="0" applyFont="1" applyFill="1" applyBorder="1" applyAlignment="1">
      <alignment vertical="center"/>
    </xf>
    <xf numFmtId="0" fontId="37" fillId="2" borderId="2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3" fontId="28" fillId="2" borderId="0" xfId="0" applyNumberFormat="1" applyFont="1" applyFill="1" applyAlignment="1">
      <alignment horizontal="right" vertical="center"/>
    </xf>
    <xf numFmtId="0" fontId="1" fillId="2" borderId="6" xfId="0" applyFont="1" applyFill="1" applyBorder="1"/>
    <xf numFmtId="0" fontId="24" fillId="10" borderId="13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2" xfId="0" applyFont="1" applyFill="1" applyBorder="1"/>
    <xf numFmtId="0" fontId="3" fillId="2" borderId="48" xfId="0" applyFont="1" applyFill="1" applyBorder="1"/>
    <xf numFmtId="0" fontId="24" fillId="10" borderId="0" xfId="0" applyFont="1" applyFill="1"/>
    <xf numFmtId="10" fontId="24" fillId="11" borderId="27" xfId="0" applyNumberFormat="1" applyFont="1" applyFill="1" applyBorder="1"/>
    <xf numFmtId="0" fontId="1" fillId="0" borderId="13" xfId="0" applyFont="1" applyBorder="1" applyAlignment="1">
      <alignment horizontal="center"/>
    </xf>
    <xf numFmtId="0" fontId="3" fillId="2" borderId="40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56" xfId="0" applyFont="1" applyFill="1" applyBorder="1"/>
    <xf numFmtId="0" fontId="31" fillId="2" borderId="6" xfId="0" applyFont="1" applyFill="1" applyBorder="1"/>
    <xf numFmtId="3" fontId="16" fillId="11" borderId="57" xfId="0" applyNumberFormat="1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4" fontId="3" fillId="2" borderId="58" xfId="0" applyNumberFormat="1" applyFont="1" applyFill="1" applyBorder="1"/>
    <xf numFmtId="0" fontId="3" fillId="2" borderId="34" xfId="0" applyFont="1" applyFill="1" applyBorder="1"/>
    <xf numFmtId="10" fontId="16" fillId="5" borderId="49" xfId="0" applyNumberFormat="1" applyFont="1" applyFill="1" applyBorder="1" applyAlignment="1">
      <alignment horizontal="right" vertical="center"/>
    </xf>
    <xf numFmtId="4" fontId="3" fillId="2" borderId="51" xfId="0" applyNumberFormat="1" applyFont="1" applyFill="1" applyBorder="1"/>
    <xf numFmtId="0" fontId="16" fillId="2" borderId="21" xfId="0" applyFont="1" applyFill="1" applyBorder="1" applyAlignment="1">
      <alignment vertical="center"/>
    </xf>
    <xf numFmtId="4" fontId="24" fillId="2" borderId="1" xfId="0" applyNumberFormat="1" applyFont="1" applyFill="1" applyBorder="1"/>
    <xf numFmtId="3" fontId="19" fillId="5" borderId="59" xfId="0" applyNumberFormat="1" applyFont="1" applyFill="1" applyBorder="1" applyAlignment="1">
      <alignment horizontal="right" vertical="center"/>
    </xf>
    <xf numFmtId="0" fontId="24" fillId="2" borderId="1" xfId="0" applyFont="1" applyFill="1" applyBorder="1"/>
    <xf numFmtId="0" fontId="24" fillId="2" borderId="51" xfId="0" applyFont="1" applyFill="1" applyBorder="1"/>
    <xf numFmtId="0" fontId="16" fillId="0" borderId="12" xfId="0" applyFont="1" applyBorder="1" applyAlignment="1">
      <alignment vertical="center"/>
    </xf>
    <xf numFmtId="0" fontId="38" fillId="2" borderId="51" xfId="0" applyFont="1" applyFill="1" applyBorder="1" applyAlignment="1">
      <alignment horizontal="right" vertical="center"/>
    </xf>
    <xf numFmtId="175" fontId="3" fillId="2" borderId="1" xfId="0" applyNumberFormat="1" applyFont="1" applyFill="1" applyBorder="1"/>
    <xf numFmtId="175" fontId="16" fillId="2" borderId="2" xfId="0" applyNumberFormat="1" applyFont="1" applyFill="1" applyBorder="1" applyAlignment="1">
      <alignment horizontal="center" vertical="center"/>
    </xf>
    <xf numFmtId="3" fontId="24" fillId="0" borderId="59" xfId="0" applyNumberFormat="1" applyFont="1" applyBorder="1" applyAlignment="1">
      <alignment horizontal="right" vertical="center"/>
    </xf>
    <xf numFmtId="3" fontId="28" fillId="7" borderId="60" xfId="0" applyNumberFormat="1" applyFont="1" applyFill="1" applyBorder="1" applyAlignment="1">
      <alignment horizontal="right" vertical="center"/>
    </xf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right"/>
    </xf>
    <xf numFmtId="0" fontId="3" fillId="2" borderId="61" xfId="0" applyFont="1" applyFill="1" applyBorder="1"/>
    <xf numFmtId="4" fontId="24" fillId="2" borderId="13" xfId="0" applyNumberFormat="1" applyFont="1" applyFill="1" applyBorder="1" applyAlignment="1">
      <alignment horizontal="right"/>
    </xf>
    <xf numFmtId="0" fontId="39" fillId="0" borderId="0" xfId="0" applyFont="1"/>
    <xf numFmtId="0" fontId="1" fillId="2" borderId="1" xfId="0" applyFont="1" applyFill="1" applyBorder="1" applyAlignment="1">
      <alignment horizontal="left" vertical="center"/>
    </xf>
    <xf numFmtId="4" fontId="3" fillId="2" borderId="0" xfId="0" applyNumberFormat="1" applyFont="1" applyFill="1"/>
    <xf numFmtId="4" fontId="24" fillId="2" borderId="48" xfId="0" applyNumberFormat="1" applyFont="1" applyFill="1" applyBorder="1"/>
    <xf numFmtId="0" fontId="24" fillId="2" borderId="0" xfId="0" applyFont="1" applyFill="1"/>
    <xf numFmtId="0" fontId="32" fillId="2" borderId="2" xfId="0" applyFont="1" applyFill="1" applyBorder="1"/>
    <xf numFmtId="0" fontId="3" fillId="2" borderId="2" xfId="0" applyFont="1" applyFill="1" applyBorder="1" applyAlignment="1">
      <alignment horizontal="right" vertical="center"/>
    </xf>
    <xf numFmtId="0" fontId="41" fillId="2" borderId="1" xfId="0" applyFont="1" applyFill="1" applyBorder="1"/>
    <xf numFmtId="0" fontId="42" fillId="2" borderId="1" xfId="0" applyFont="1" applyFill="1" applyBorder="1"/>
    <xf numFmtId="0" fontId="43" fillId="2" borderId="1" xfId="0" applyFont="1" applyFill="1" applyBorder="1" applyAlignment="1">
      <alignment horizontal="left"/>
    </xf>
    <xf numFmtId="0" fontId="43" fillId="2" borderId="1" xfId="0" applyFont="1" applyFill="1" applyBorder="1"/>
    <xf numFmtId="0" fontId="43" fillId="0" borderId="0" xfId="0" applyFont="1"/>
    <xf numFmtId="0" fontId="42" fillId="0" borderId="0" xfId="0" applyFont="1"/>
    <xf numFmtId="3" fontId="41" fillId="0" borderId="0" xfId="0" applyNumberFormat="1" applyFont="1"/>
    <xf numFmtId="0" fontId="44" fillId="12" borderId="1" xfId="0" applyFont="1" applyFill="1" applyBorder="1" applyAlignment="1">
      <alignment horizontal="left" vertical="center"/>
    </xf>
    <xf numFmtId="0" fontId="44" fillId="12" borderId="1" xfId="0" applyFont="1" applyFill="1" applyBorder="1"/>
    <xf numFmtId="0" fontId="45" fillId="12" borderId="1" xfId="0" applyFont="1" applyFill="1" applyBorder="1"/>
    <xf numFmtId="0" fontId="45" fillId="12" borderId="1" xfId="0" applyFont="1" applyFill="1" applyBorder="1" applyAlignment="1">
      <alignment horizontal="right" vertical="center"/>
    </xf>
    <xf numFmtId="0" fontId="45" fillId="2" borderId="1" xfId="0" applyFont="1" applyFill="1" applyBorder="1"/>
    <xf numFmtId="0" fontId="46" fillId="7" borderId="1" xfId="0" applyFont="1" applyFill="1" applyBorder="1" applyAlignment="1">
      <alignment vertical="center"/>
    </xf>
    <xf numFmtId="3" fontId="43" fillId="2" borderId="1" xfId="0" applyNumberFormat="1" applyFont="1" applyFill="1" applyBorder="1" applyAlignment="1">
      <alignment horizontal="right"/>
    </xf>
    <xf numFmtId="0" fontId="43" fillId="13" borderId="1" xfId="0" applyFont="1" applyFill="1" applyBorder="1"/>
    <xf numFmtId="0" fontId="43" fillId="2" borderId="1" xfId="0" applyFont="1" applyFill="1" applyBorder="1" applyAlignment="1">
      <alignment horizontal="right" vertical="center"/>
    </xf>
    <xf numFmtId="176" fontId="46" fillId="7" borderId="13" xfId="0" applyNumberFormat="1" applyFont="1" applyFill="1" applyBorder="1" applyAlignment="1">
      <alignment horizontal="right"/>
    </xf>
    <xf numFmtId="4" fontId="43" fillId="13" borderId="13" xfId="0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right"/>
    </xf>
    <xf numFmtId="4" fontId="43" fillId="2" borderId="1" xfId="0" applyNumberFormat="1" applyFont="1" applyFill="1" applyBorder="1" applyAlignment="1">
      <alignment horizontal="right"/>
    </xf>
    <xf numFmtId="4" fontId="41" fillId="0" borderId="0" xfId="0" applyNumberFormat="1" applyFont="1"/>
    <xf numFmtId="177" fontId="46" fillId="7" borderId="13" xfId="0" applyNumberFormat="1" applyFont="1" applyFill="1" applyBorder="1" applyAlignment="1">
      <alignment horizontal="right"/>
    </xf>
    <xf numFmtId="4" fontId="41" fillId="2" borderId="1" xfId="0" applyNumberFormat="1" applyFont="1" applyFill="1" applyBorder="1" applyAlignment="1">
      <alignment horizontal="right"/>
    </xf>
    <xf numFmtId="0" fontId="47" fillId="2" borderId="1" xfId="0" applyFont="1" applyFill="1" applyBorder="1" applyAlignment="1">
      <alignment horizontal="left"/>
    </xf>
    <xf numFmtId="178" fontId="46" fillId="7" borderId="13" xfId="0" applyNumberFormat="1" applyFont="1" applyFill="1" applyBorder="1" applyAlignment="1">
      <alignment horizontal="right"/>
    </xf>
    <xf numFmtId="168" fontId="46" fillId="7" borderId="13" xfId="0" applyNumberFormat="1" applyFont="1" applyFill="1" applyBorder="1" applyAlignment="1">
      <alignment horizontal="right"/>
    </xf>
    <xf numFmtId="0" fontId="47" fillId="2" borderId="1" xfId="0" applyFont="1" applyFill="1" applyBorder="1" applyAlignment="1">
      <alignment horizontal="right" vertical="center"/>
    </xf>
    <xf numFmtId="179" fontId="46" fillId="7" borderId="13" xfId="0" applyNumberFormat="1" applyFont="1" applyFill="1" applyBorder="1" applyAlignment="1">
      <alignment horizontal="right"/>
    </xf>
    <xf numFmtId="164" fontId="46" fillId="7" borderId="13" xfId="0" applyNumberFormat="1" applyFont="1" applyFill="1" applyBorder="1" applyAlignment="1">
      <alignment horizontal="right"/>
    </xf>
    <xf numFmtId="0" fontId="42" fillId="0" borderId="0" xfId="0" applyFont="1" applyAlignment="1">
      <alignment horizontal="left"/>
    </xf>
    <xf numFmtId="3" fontId="41" fillId="0" borderId="0" xfId="0" applyNumberFormat="1" applyFont="1" applyAlignment="1">
      <alignment horizontal="right"/>
    </xf>
    <xf numFmtId="0" fontId="48" fillId="2" borderId="1" xfId="0" applyFont="1" applyFill="1" applyBorder="1" applyAlignment="1">
      <alignment horizontal="right" vertical="center"/>
    </xf>
    <xf numFmtId="3" fontId="43" fillId="13" borderId="13" xfId="0" applyNumberFormat="1" applyFont="1" applyFill="1" applyBorder="1" applyAlignment="1">
      <alignment horizontal="right"/>
    </xf>
    <xf numFmtId="10" fontId="49" fillId="0" borderId="11" xfId="0" applyNumberFormat="1" applyFont="1" applyBorder="1" applyAlignment="1">
      <alignment horizontal="right"/>
    </xf>
    <xf numFmtId="0" fontId="41" fillId="0" borderId="0" xfId="0" applyFont="1"/>
    <xf numFmtId="3" fontId="43" fillId="2" borderId="1" xfId="0" applyNumberFormat="1" applyFont="1" applyFill="1" applyBorder="1"/>
    <xf numFmtId="3" fontId="43" fillId="13" borderId="13" xfId="0" applyNumberFormat="1" applyFont="1" applyFill="1" applyBorder="1"/>
    <xf numFmtId="10" fontId="49" fillId="0" borderId="16" xfId="0" applyNumberFormat="1" applyFont="1" applyBorder="1" applyAlignment="1">
      <alignment horizontal="right"/>
    </xf>
    <xf numFmtId="10" fontId="49" fillId="0" borderId="24" xfId="0" applyNumberFormat="1" applyFont="1" applyBorder="1" applyAlignment="1">
      <alignment horizontal="right"/>
    </xf>
    <xf numFmtId="0" fontId="45" fillId="12" borderId="1" xfId="0" applyFont="1" applyFill="1" applyBorder="1" applyAlignment="1">
      <alignment horizontal="right"/>
    </xf>
    <xf numFmtId="0" fontId="51" fillId="0" borderId="0" xfId="0" applyFont="1" applyAlignment="1">
      <alignment horizontal="right"/>
    </xf>
    <xf numFmtId="4" fontId="49" fillId="0" borderId="0" xfId="0" applyNumberFormat="1" applyFont="1"/>
    <xf numFmtId="0" fontId="52" fillId="5" borderId="3" xfId="0" applyFont="1" applyFill="1" applyBorder="1" applyAlignment="1">
      <alignment horizontal="right" vertical="top"/>
    </xf>
    <xf numFmtId="0" fontId="52" fillId="5" borderId="4" xfId="0" applyFont="1" applyFill="1" applyBorder="1" applyAlignment="1">
      <alignment horizontal="right" vertical="top"/>
    </xf>
    <xf numFmtId="0" fontId="52" fillId="5" borderId="5" xfId="0" applyFont="1" applyFill="1" applyBorder="1" applyAlignment="1">
      <alignment horizontal="right" vertical="top"/>
    </xf>
    <xf numFmtId="0" fontId="53" fillId="0" borderId="0" xfId="0" applyFont="1"/>
    <xf numFmtId="3" fontId="46" fillId="7" borderId="13" xfId="0" applyNumberFormat="1" applyFont="1" applyFill="1" applyBorder="1" applyAlignment="1">
      <alignment horizontal="right"/>
    </xf>
    <xf numFmtId="180" fontId="41" fillId="0" borderId="0" xfId="0" applyNumberFormat="1" applyFont="1"/>
    <xf numFmtId="0" fontId="54" fillId="2" borderId="1" xfId="0" applyFont="1" applyFill="1" applyBorder="1"/>
    <xf numFmtId="0" fontId="42" fillId="0" borderId="15" xfId="0" applyFont="1" applyBorder="1" applyAlignment="1">
      <alignment horizontal="right"/>
    </xf>
    <xf numFmtId="1" fontId="49" fillId="0" borderId="0" xfId="0" applyNumberFormat="1" applyFont="1" applyAlignment="1">
      <alignment horizontal="right"/>
    </xf>
    <xf numFmtId="1" fontId="49" fillId="0" borderId="12" xfId="0" applyNumberFormat="1" applyFont="1" applyBorder="1" applyAlignment="1">
      <alignment horizontal="right"/>
    </xf>
    <xf numFmtId="181" fontId="46" fillId="7" borderId="13" xfId="0" applyNumberFormat="1" applyFont="1" applyFill="1" applyBorder="1" applyAlignment="1">
      <alignment horizontal="right"/>
    </xf>
    <xf numFmtId="3" fontId="42" fillId="0" borderId="15" xfId="0" applyNumberFormat="1" applyFont="1" applyBorder="1" applyAlignment="1">
      <alignment horizontal="right"/>
    </xf>
    <xf numFmtId="0" fontId="47" fillId="2" borderId="1" xfId="0" applyFont="1" applyFill="1" applyBorder="1" applyAlignment="1">
      <alignment horizontal="right"/>
    </xf>
    <xf numFmtId="170" fontId="46" fillId="7" borderId="13" xfId="0" applyNumberFormat="1" applyFont="1" applyFill="1" applyBorder="1" applyAlignment="1">
      <alignment horizontal="right"/>
    </xf>
    <xf numFmtId="3" fontId="42" fillId="0" borderId="18" xfId="0" applyNumberFormat="1" applyFont="1" applyBorder="1" applyAlignment="1">
      <alignment horizontal="right"/>
    </xf>
    <xf numFmtId="1" fontId="49" fillId="0" borderId="9" xfId="0" applyNumberFormat="1" applyFont="1" applyBorder="1" applyAlignment="1">
      <alignment horizontal="right"/>
    </xf>
    <xf numFmtId="0" fontId="47" fillId="0" borderId="0" xfId="0" applyFont="1"/>
    <xf numFmtId="0" fontId="52" fillId="5" borderId="1" xfId="0" applyFont="1" applyFill="1" applyBorder="1" applyAlignment="1">
      <alignment horizontal="left"/>
    </xf>
    <xf numFmtId="1" fontId="42" fillId="0" borderId="26" xfId="0" applyNumberFormat="1" applyFont="1" applyBorder="1"/>
    <xf numFmtId="1" fontId="49" fillId="0" borderId="27" xfId="0" applyNumberFormat="1" applyFont="1" applyBorder="1"/>
    <xf numFmtId="3" fontId="55" fillId="7" borderId="13" xfId="0" applyNumberFormat="1" applyFont="1" applyFill="1" applyBorder="1" applyAlignment="1">
      <alignment horizontal="right"/>
    </xf>
    <xf numFmtId="0" fontId="56" fillId="14" borderId="1" xfId="0" applyFont="1" applyFill="1" applyBorder="1"/>
    <xf numFmtId="3" fontId="48" fillId="13" borderId="13" xfId="0" applyNumberFormat="1" applyFont="1" applyFill="1" applyBorder="1" applyAlignment="1">
      <alignment horizontal="right"/>
    </xf>
    <xf numFmtId="174" fontId="57" fillId="0" borderId="0" xfId="0" applyNumberFormat="1" applyFont="1" applyAlignment="1">
      <alignment horizontal="center"/>
    </xf>
    <xf numFmtId="0" fontId="46" fillId="7" borderId="13" xfId="0" applyFont="1" applyFill="1" applyBorder="1" applyAlignment="1">
      <alignment horizontal="right"/>
    </xf>
    <xf numFmtId="182" fontId="46" fillId="7" borderId="13" xfId="0" applyNumberFormat="1" applyFont="1" applyFill="1" applyBorder="1" applyAlignment="1">
      <alignment horizontal="right"/>
    </xf>
    <xf numFmtId="173" fontId="46" fillId="7" borderId="13" xfId="0" applyNumberFormat="1" applyFont="1" applyFill="1" applyBorder="1" applyAlignment="1">
      <alignment horizontal="right"/>
    </xf>
    <xf numFmtId="0" fontId="55" fillId="2" borderId="1" xfId="0" applyFont="1" applyFill="1" applyBorder="1"/>
    <xf numFmtId="0" fontId="47" fillId="2" borderId="1" xfId="0" applyFont="1" applyFill="1" applyBorder="1"/>
    <xf numFmtId="10" fontId="55" fillId="2" borderId="1" xfId="0" applyNumberFormat="1" applyFont="1" applyFill="1" applyBorder="1"/>
    <xf numFmtId="172" fontId="46" fillId="7" borderId="13" xfId="0" applyNumberFormat="1" applyFont="1" applyFill="1" applyBorder="1" applyAlignment="1">
      <alignment horizontal="right"/>
    </xf>
    <xf numFmtId="171" fontId="43" fillId="13" borderId="13" xfId="0" applyNumberFormat="1" applyFont="1" applyFill="1" applyBorder="1" applyAlignment="1">
      <alignment horizontal="right"/>
    </xf>
    <xf numFmtId="183" fontId="59" fillId="3" borderId="40" xfId="0" applyNumberFormat="1" applyFont="1" applyFill="1" applyBorder="1" applyAlignment="1">
      <alignment horizontal="center"/>
    </xf>
    <xf numFmtId="183" fontId="59" fillId="3" borderId="41" xfId="0" applyNumberFormat="1" applyFont="1" applyFill="1" applyBorder="1" applyAlignment="1">
      <alignment horizontal="right"/>
    </xf>
    <xf numFmtId="183" fontId="59" fillId="3" borderId="63" xfId="0" applyNumberFormat="1" applyFont="1" applyFill="1" applyBorder="1" applyAlignment="1">
      <alignment horizontal="right"/>
    </xf>
    <xf numFmtId="184" fontId="46" fillId="7" borderId="13" xfId="0" applyNumberFormat="1" applyFont="1" applyFill="1" applyBorder="1"/>
    <xf numFmtId="10" fontId="43" fillId="13" borderId="13" xfId="0" applyNumberFormat="1" applyFont="1" applyFill="1" applyBorder="1" applyAlignment="1">
      <alignment horizontal="right"/>
    </xf>
    <xf numFmtId="0" fontId="55" fillId="5" borderId="3" xfId="0" applyFont="1" applyFill="1" applyBorder="1" applyAlignment="1">
      <alignment horizontal="center"/>
    </xf>
    <xf numFmtId="0" fontId="55" fillId="5" borderId="4" xfId="0" applyFont="1" applyFill="1" applyBorder="1"/>
    <xf numFmtId="185" fontId="55" fillId="5" borderId="5" xfId="0" applyNumberFormat="1" applyFont="1" applyFill="1" applyBorder="1" applyAlignment="1">
      <alignment horizontal="right"/>
    </xf>
    <xf numFmtId="185" fontId="55" fillId="2" borderId="1" xfId="0" applyNumberFormat="1" applyFont="1" applyFill="1" applyBorder="1"/>
    <xf numFmtId="186" fontId="41" fillId="0" borderId="0" xfId="0" applyNumberFormat="1" applyFont="1"/>
    <xf numFmtId="187" fontId="48" fillId="5" borderId="34" xfId="0" applyNumberFormat="1" applyFont="1" applyFill="1" applyBorder="1" applyAlignment="1">
      <alignment horizontal="center"/>
    </xf>
    <xf numFmtId="187" fontId="48" fillId="5" borderId="1" xfId="0" applyNumberFormat="1" applyFont="1" applyFill="1" applyBorder="1"/>
    <xf numFmtId="185" fontId="48" fillId="5" borderId="52" xfId="0" applyNumberFormat="1" applyFont="1" applyFill="1" applyBorder="1" applyAlignment="1">
      <alignment horizontal="right"/>
    </xf>
    <xf numFmtId="4" fontId="43" fillId="0" borderId="0" xfId="0" applyNumberFormat="1" applyFont="1"/>
    <xf numFmtId="183" fontId="47" fillId="2" borderId="1" xfId="0" applyNumberFormat="1" applyFont="1" applyFill="1" applyBorder="1" applyAlignment="1">
      <alignment horizontal="right"/>
    </xf>
    <xf numFmtId="187" fontId="48" fillId="5" borderId="40" xfId="0" applyNumberFormat="1" applyFont="1" applyFill="1" applyBorder="1" applyAlignment="1">
      <alignment horizontal="center"/>
    </xf>
    <xf numFmtId="187" fontId="48" fillId="5" borderId="41" xfId="0" applyNumberFormat="1" applyFont="1" applyFill="1" applyBorder="1"/>
    <xf numFmtId="185" fontId="48" fillId="5" borderId="63" xfId="0" applyNumberFormat="1" applyFont="1" applyFill="1" applyBorder="1" applyAlignment="1">
      <alignment horizontal="right"/>
    </xf>
    <xf numFmtId="0" fontId="59" fillId="2" borderId="1" xfId="0" applyFont="1" applyFill="1" applyBorder="1"/>
    <xf numFmtId="0" fontId="59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right"/>
    </xf>
    <xf numFmtId="0" fontId="48" fillId="0" borderId="0" xfId="0" applyFont="1"/>
    <xf numFmtId="4" fontId="48" fillId="0" borderId="0" xfId="0" applyNumberFormat="1" applyFont="1"/>
    <xf numFmtId="0" fontId="47" fillId="2" borderId="64" xfId="0" applyFont="1" applyFill="1" applyBorder="1"/>
    <xf numFmtId="0" fontId="47" fillId="2" borderId="65" xfId="0" applyFont="1" applyFill="1" applyBorder="1"/>
    <xf numFmtId="0" fontId="59" fillId="3" borderId="66" xfId="0" applyFont="1" applyFill="1" applyBorder="1" applyAlignment="1">
      <alignment horizontal="center"/>
    </xf>
    <xf numFmtId="0" fontId="59" fillId="3" borderId="66" xfId="0" applyFont="1" applyFill="1" applyBorder="1" applyAlignment="1">
      <alignment horizontal="right"/>
    </xf>
    <xf numFmtId="0" fontId="59" fillId="3" borderId="67" xfId="0" applyFont="1" applyFill="1" applyBorder="1" applyAlignment="1">
      <alignment horizontal="center"/>
    </xf>
    <xf numFmtId="183" fontId="47" fillId="2" borderId="68" xfId="0" applyNumberFormat="1" applyFont="1" applyFill="1" applyBorder="1" applyAlignment="1">
      <alignment horizontal="right"/>
    </xf>
    <xf numFmtId="183" fontId="55" fillId="2" borderId="69" xfId="0" applyNumberFormat="1" applyFont="1" applyFill="1" applyBorder="1" applyAlignment="1">
      <alignment horizontal="right"/>
    </xf>
    <xf numFmtId="188" fontId="55" fillId="2" borderId="66" xfId="0" applyNumberFormat="1" applyFont="1" applyFill="1" applyBorder="1" applyAlignment="1">
      <alignment horizontal="right"/>
    </xf>
    <xf numFmtId="188" fontId="55" fillId="2" borderId="67" xfId="0" applyNumberFormat="1" applyFont="1" applyFill="1" applyBorder="1" applyAlignment="1">
      <alignment horizontal="right"/>
    </xf>
    <xf numFmtId="0" fontId="47" fillId="2" borderId="69" xfId="0" applyFont="1" applyFill="1" applyBorder="1"/>
    <xf numFmtId="0" fontId="55" fillId="2" borderId="69" xfId="0" applyFont="1" applyFill="1" applyBorder="1" applyAlignment="1">
      <alignment horizontal="center"/>
    </xf>
    <xf numFmtId="10" fontId="43" fillId="13" borderId="1" xfId="0" applyNumberFormat="1" applyFont="1" applyFill="1" applyBorder="1"/>
    <xf numFmtId="10" fontId="43" fillId="13" borderId="1" xfId="0" applyNumberFormat="1" applyFont="1" applyFill="1" applyBorder="1" applyAlignment="1">
      <alignment horizontal="right"/>
    </xf>
    <xf numFmtId="183" fontId="47" fillId="5" borderId="70" xfId="0" applyNumberFormat="1" applyFont="1" applyFill="1" applyBorder="1" applyAlignment="1">
      <alignment horizontal="right"/>
    </xf>
    <xf numFmtId="183" fontId="47" fillId="5" borderId="71" xfId="0" applyNumberFormat="1" applyFont="1" applyFill="1" applyBorder="1" applyAlignment="1">
      <alignment horizontal="right"/>
    </xf>
    <xf numFmtId="189" fontId="47" fillId="5" borderId="13" xfId="0" applyNumberFormat="1" applyFont="1" applyFill="1" applyBorder="1" applyAlignment="1">
      <alignment horizontal="right"/>
    </xf>
    <xf numFmtId="0" fontId="41" fillId="2" borderId="1" xfId="0" applyFont="1" applyFill="1" applyBorder="1" applyAlignment="1">
      <alignment horizontal="right" vertical="center"/>
    </xf>
    <xf numFmtId="183" fontId="47" fillId="5" borderId="13" xfId="0" applyNumberFormat="1" applyFont="1" applyFill="1" applyBorder="1" applyAlignment="1">
      <alignment horizontal="right"/>
    </xf>
    <xf numFmtId="9" fontId="47" fillId="5" borderId="13" xfId="0" applyNumberFormat="1" applyFont="1" applyFill="1" applyBorder="1" applyAlignment="1">
      <alignment horizontal="right"/>
    </xf>
    <xf numFmtId="183" fontId="47" fillId="5" borderId="72" xfId="0" applyNumberFormat="1" applyFont="1" applyFill="1" applyBorder="1" applyAlignment="1">
      <alignment horizontal="right"/>
    </xf>
    <xf numFmtId="183" fontId="47" fillId="5" borderId="73" xfId="0" applyNumberFormat="1" applyFont="1" applyFill="1" applyBorder="1" applyAlignment="1">
      <alignment horizontal="right"/>
    </xf>
    <xf numFmtId="175" fontId="43" fillId="2" borderId="1" xfId="0" applyNumberFormat="1" applyFont="1" applyFill="1" applyBorder="1"/>
    <xf numFmtId="175" fontId="43" fillId="2" borderId="1" xfId="0" applyNumberFormat="1" applyFont="1" applyFill="1" applyBorder="1" applyAlignment="1">
      <alignment horizontal="center"/>
    </xf>
    <xf numFmtId="3" fontId="43" fillId="0" borderId="13" xfId="0" applyNumberFormat="1" applyFont="1" applyBorder="1" applyAlignment="1">
      <alignment horizontal="right"/>
    </xf>
    <xf numFmtId="4" fontId="43" fillId="2" borderId="1" xfId="0" applyNumberFormat="1" applyFont="1" applyFill="1" applyBorder="1"/>
    <xf numFmtId="183" fontId="47" fillId="5" borderId="74" xfId="0" applyNumberFormat="1" applyFont="1" applyFill="1" applyBorder="1" applyAlignment="1">
      <alignment horizontal="right"/>
    </xf>
    <xf numFmtId="183" fontId="55" fillId="5" borderId="75" xfId="0" applyNumberFormat="1" applyFont="1" applyFill="1" applyBorder="1" applyAlignment="1">
      <alignment horizontal="right"/>
    </xf>
    <xf numFmtId="187" fontId="47" fillId="5" borderId="76" xfId="0" applyNumberFormat="1" applyFont="1" applyFill="1" applyBorder="1"/>
    <xf numFmtId="4" fontId="46" fillId="7" borderId="13" xfId="0" applyNumberFormat="1" applyFont="1" applyFill="1" applyBorder="1" applyAlignment="1">
      <alignment horizontal="right"/>
    </xf>
    <xf numFmtId="9" fontId="46" fillId="0" borderId="13" xfId="0" applyNumberFormat="1" applyFont="1" applyBorder="1"/>
    <xf numFmtId="4" fontId="55" fillId="0" borderId="13" xfId="0" applyNumberFormat="1" applyFont="1" applyBorder="1" applyAlignment="1">
      <alignment horizontal="right"/>
    </xf>
    <xf numFmtId="10" fontId="60" fillId="2" borderId="1" xfId="0" applyNumberFormat="1" applyFont="1" applyFill="1" applyBorder="1"/>
    <xf numFmtId="190" fontId="61" fillId="0" borderId="0" xfId="0" applyNumberFormat="1" applyFont="1" applyAlignment="1">
      <alignment horizontal="center"/>
    </xf>
    <xf numFmtId="0" fontId="61" fillId="0" borderId="0" xfId="0" applyFont="1"/>
    <xf numFmtId="15" fontId="61" fillId="0" borderId="0" xfId="0" applyNumberFormat="1" applyFont="1" applyAlignment="1">
      <alignment horizontal="center"/>
    </xf>
    <xf numFmtId="191" fontId="62" fillId="0" borderId="0" xfId="0" applyNumberFormat="1" applyFont="1" applyAlignment="1">
      <alignment horizontal="right"/>
    </xf>
    <xf numFmtId="0" fontId="62" fillId="0" borderId="0" xfId="0" applyFont="1"/>
    <xf numFmtId="192" fontId="62" fillId="0" borderId="0" xfId="0" applyNumberFormat="1" applyFont="1" applyAlignment="1">
      <alignment horizontal="right"/>
    </xf>
    <xf numFmtId="165" fontId="3" fillId="5" borderId="13" xfId="0" applyNumberFormat="1" applyFont="1" applyFill="1" applyBorder="1" applyAlignment="1">
      <alignment horizontal="right" vertical="center"/>
    </xf>
    <xf numFmtId="166" fontId="15" fillId="5" borderId="13" xfId="0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 applyProtection="1">
      <alignment horizontal="right" vertical="center"/>
      <protection locked="0"/>
    </xf>
    <xf numFmtId="3" fontId="22" fillId="6" borderId="13" xfId="0" applyNumberFormat="1" applyFont="1" applyFill="1" applyBorder="1" applyAlignment="1" applyProtection="1">
      <alignment horizontal="right"/>
      <protection locked="0"/>
    </xf>
    <xf numFmtId="169" fontId="22" fillId="6" borderId="13" xfId="0" applyNumberFormat="1" applyFont="1" applyFill="1" applyBorder="1" applyAlignment="1" applyProtection="1">
      <alignment horizontal="right"/>
      <protection locked="0"/>
    </xf>
    <xf numFmtId="170" fontId="22" fillId="6" borderId="13" xfId="0" applyNumberFormat="1" applyFont="1" applyFill="1" applyBorder="1" applyAlignment="1" applyProtection="1">
      <alignment horizontal="right"/>
      <protection locked="0"/>
    </xf>
    <xf numFmtId="49" fontId="16" fillId="6" borderId="13" xfId="0" applyNumberFormat="1" applyFont="1" applyFill="1" applyBorder="1" applyAlignment="1" applyProtection="1">
      <alignment horizontal="right" vertical="center"/>
      <protection locked="0"/>
    </xf>
    <xf numFmtId="3" fontId="3" fillId="6" borderId="35" xfId="0" applyNumberFormat="1" applyFont="1" applyFill="1" applyBorder="1" applyAlignment="1" applyProtection="1">
      <alignment horizontal="right" vertical="center"/>
      <protection locked="0"/>
    </xf>
    <xf numFmtId="3" fontId="16" fillId="6" borderId="13" xfId="0" applyNumberFormat="1" applyFont="1" applyFill="1" applyBorder="1" applyAlignment="1" applyProtection="1">
      <alignment horizontal="right" vertical="center"/>
      <protection locked="0"/>
    </xf>
    <xf numFmtId="10" fontId="3" fillId="6" borderId="35" xfId="0" applyNumberFormat="1" applyFont="1" applyFill="1" applyBorder="1" applyAlignment="1" applyProtection="1">
      <alignment vertical="center"/>
      <protection locked="0"/>
    </xf>
    <xf numFmtId="49" fontId="3" fillId="6" borderId="13" xfId="0" applyNumberFormat="1" applyFont="1" applyFill="1" applyBorder="1" applyAlignment="1" applyProtection="1">
      <alignment horizontal="right" vertical="center"/>
      <protection locked="0"/>
    </xf>
    <xf numFmtId="3" fontId="3" fillId="6" borderId="13" xfId="0" applyNumberFormat="1" applyFont="1" applyFill="1" applyBorder="1" applyAlignment="1" applyProtection="1">
      <alignment horizontal="right" vertical="center"/>
      <protection locked="0"/>
    </xf>
    <xf numFmtId="166" fontId="15" fillId="5" borderId="63" xfId="0" applyNumberFormat="1" applyFont="1" applyFill="1" applyBorder="1" applyAlignment="1">
      <alignment horizontal="right"/>
    </xf>
    <xf numFmtId="170" fontId="22" fillId="6" borderId="11" xfId="0" applyNumberFormat="1" applyFont="1" applyFill="1" applyBorder="1" applyAlignment="1" applyProtection="1">
      <alignment horizontal="right"/>
      <protection locked="0"/>
    </xf>
    <xf numFmtId="166" fontId="15" fillId="5" borderId="24" xfId="0" applyNumberFormat="1" applyFont="1" applyFill="1" applyBorder="1" applyAlignment="1">
      <alignment horizontal="right"/>
    </xf>
    <xf numFmtId="166" fontId="15" fillId="5" borderId="77" xfId="0" applyNumberFormat="1" applyFont="1" applyFill="1" applyBorder="1" applyAlignment="1">
      <alignment horizontal="right"/>
    </xf>
    <xf numFmtId="9" fontId="16" fillId="5" borderId="13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/>
    <xf numFmtId="14" fontId="0" fillId="0" borderId="0" xfId="0" applyNumberFormat="1"/>
    <xf numFmtId="10" fontId="16" fillId="6" borderId="49" xfId="0" applyNumberFormat="1" applyFont="1" applyFill="1" applyBorder="1" applyAlignment="1" applyProtection="1">
      <alignment vertical="center"/>
      <protection locked="0"/>
    </xf>
    <xf numFmtId="0" fontId="30" fillId="0" borderId="50" xfId="0" applyFont="1" applyBorder="1" applyProtection="1">
      <protection locked="0"/>
    </xf>
    <xf numFmtId="0" fontId="4" fillId="3" borderId="0" xfId="0" applyFont="1" applyFill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5" fillId="0" borderId="0" xfId="0" applyFont="1"/>
    <xf numFmtId="0" fontId="16" fillId="6" borderId="46" xfId="0" applyFont="1" applyFill="1" applyBorder="1" applyAlignment="1" applyProtection="1">
      <alignment horizontal="right" vertical="center"/>
      <protection locked="0"/>
    </xf>
    <xf numFmtId="0" fontId="30" fillId="0" borderId="47" xfId="0" applyFont="1" applyBorder="1" applyProtection="1">
      <protection locked="0"/>
    </xf>
    <xf numFmtId="173" fontId="16" fillId="6" borderId="49" xfId="0" applyNumberFormat="1" applyFont="1" applyFill="1" applyBorder="1" applyAlignment="1" applyProtection="1">
      <alignment horizontal="right" vertical="center"/>
      <protection locked="0"/>
    </xf>
    <xf numFmtId="173" fontId="16" fillId="6" borderId="29" xfId="0" applyNumberFormat="1" applyFont="1" applyFill="1" applyBorder="1" applyAlignment="1" applyProtection="1">
      <alignment horizontal="right" vertical="center"/>
      <protection locked="0"/>
    </xf>
    <xf numFmtId="0" fontId="30" fillId="0" borderId="53" xfId="0" applyFont="1" applyBorder="1" applyProtection="1">
      <protection locked="0"/>
    </xf>
    <xf numFmtId="0" fontId="7" fillId="4" borderId="0" xfId="0" applyFont="1" applyFill="1" applyAlignment="1">
      <alignment vertical="center"/>
    </xf>
    <xf numFmtId="0" fontId="5" fillId="2" borderId="0" xfId="0" applyFont="1" applyFill="1"/>
    <xf numFmtId="0" fontId="16" fillId="6" borderId="26" xfId="0" applyFont="1" applyFill="1" applyBorder="1" applyAlignment="1">
      <alignment horizontal="right" vertical="center"/>
    </xf>
    <xf numFmtId="0" fontId="30" fillId="0" borderId="27" xfId="0" applyFont="1" applyBorder="1"/>
    <xf numFmtId="172" fontId="16" fillId="6" borderId="46" xfId="0" applyNumberFormat="1" applyFont="1" applyFill="1" applyBorder="1" applyAlignment="1" applyProtection="1">
      <alignment horizontal="right" vertical="center"/>
      <protection locked="0"/>
    </xf>
    <xf numFmtId="0" fontId="40" fillId="12" borderId="2" xfId="0" applyFont="1" applyFill="1" applyBorder="1" applyAlignment="1">
      <alignment horizontal="center" vertical="center"/>
    </xf>
    <xf numFmtId="0" fontId="30" fillId="0" borderId="6" xfId="0" applyFont="1" applyBorder="1"/>
    <xf numFmtId="3" fontId="48" fillId="2" borderId="26" xfId="0" applyNumberFormat="1" applyFont="1" applyFill="1" applyBorder="1" applyAlignment="1">
      <alignment horizontal="right"/>
    </xf>
    <xf numFmtId="0" fontId="50" fillId="0" borderId="0" xfId="0" applyFont="1" applyAlignment="1">
      <alignment horizontal="center"/>
    </xf>
    <xf numFmtId="0" fontId="58" fillId="2" borderId="26" xfId="0" applyFont="1" applyFill="1" applyBorder="1" applyAlignment="1">
      <alignment horizontal="center" vertical="center"/>
    </xf>
    <xf numFmtId="0" fontId="30" fillId="0" borderId="62" xfId="0" applyFont="1" applyBorder="1"/>
  </cellXfs>
  <cellStyles count="1">
    <cellStyle name="Normal" xfId="0" builtinId="0"/>
  </cellStyles>
  <dxfs count="87">
    <dxf>
      <font>
        <color rgb="FFFF0000"/>
      </font>
      <fill>
        <patternFill patternType="solid">
          <fgColor rgb="FFF4CCCC"/>
          <bgColor rgb="FFF4CCCC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BFBFBF"/>
      </font>
      <fill>
        <patternFill patternType="solid">
          <fgColor rgb="FFEBE2EB"/>
          <bgColor rgb="FFEBE2EB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FF0000"/>
      </font>
      <fill>
        <patternFill patternType="solid">
          <fgColor rgb="FFFFC7CE"/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7F7F7F"/>
      </font>
      <fill>
        <patternFill patternType="none"/>
      </fill>
    </dxf>
    <dxf>
      <font>
        <color rgb="FF7F7F7F"/>
      </font>
      <fill>
        <patternFill patternType="solid">
          <fgColor rgb="FF7F7F7F"/>
          <bgColor rgb="FF7F7F7F"/>
        </patternFill>
      </fill>
    </dxf>
    <dxf>
      <font>
        <color rgb="FFBFBFBF"/>
      </font>
      <fill>
        <patternFill patternType="none"/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solid">
          <fgColor rgb="FFEBE2EB"/>
          <bgColor rgb="FFEBE2EB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solid">
          <fgColor rgb="FFEBE2EB"/>
          <bgColor rgb="FFEBE2EB"/>
        </patternFill>
      </fill>
    </dxf>
    <dxf>
      <fill>
        <patternFill patternType="solid">
          <fgColor rgb="FFE5F1D6"/>
          <bgColor rgb="FFE5F1D6"/>
        </patternFill>
      </fill>
      <border>
        <right style="thin">
          <color rgb="FF000000"/>
        </right>
      </border>
    </dxf>
    <dxf>
      <font>
        <color rgb="FFFF0000"/>
      </font>
      <fill>
        <patternFill patternType="solid">
          <fgColor rgb="FFFFC7CE"/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FF0000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7A99B"/>
          <bgColor rgb="FF07A99B"/>
        </patternFill>
      </fill>
    </dxf>
    <dxf>
      <font>
        <color rgb="FFBFBFBF"/>
      </font>
      <fill>
        <patternFill patternType="none"/>
      </fill>
    </dxf>
    <dxf>
      <font>
        <color rgb="FFFF0000"/>
      </font>
      <fill>
        <patternFill patternType="solid">
          <fgColor rgb="FFFFC7CE"/>
          <bgColor rgb="FFFFC7CE"/>
        </patternFill>
      </fill>
    </dxf>
    <dxf>
      <font>
        <color rgb="FFBFBFBF"/>
      </font>
      <fill>
        <patternFill patternType="solid">
          <fgColor rgb="FFEBE2EB"/>
          <bgColor rgb="FFEBE2EB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FF0000"/>
      </font>
      <fill>
        <patternFill patternType="solid">
          <fgColor rgb="FFFFC7CE"/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1038225</xdr:colOff>
      <xdr:row>0</xdr:row>
      <xdr:rowOff>142875</xdr:rowOff>
    </xdr:from>
    <xdr:ext cx="3048000" cy="1209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314325</xdr:colOff>
      <xdr:row>5</xdr:row>
      <xdr:rowOff>200025</xdr:rowOff>
    </xdr:from>
    <xdr:ext cx="9791700" cy="54292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190500</xdr:colOff>
      <xdr:row>17</xdr:row>
      <xdr:rowOff>38100</xdr:rowOff>
    </xdr:from>
    <xdr:ext cx="5400675" cy="286702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29</xdr:col>
      <xdr:colOff>152400</xdr:colOff>
      <xdr:row>35</xdr:row>
      <xdr:rowOff>0</xdr:rowOff>
    </xdr:from>
    <xdr:ext cx="3476625" cy="14192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10</xdr:row>
      <xdr:rowOff>28575</xdr:rowOff>
    </xdr:from>
    <xdr:ext cx="4419600" cy="2562225"/>
    <xdr:pic>
      <xdr:nvPicPr>
        <xdr:cNvPr id="5" name="image3.png" title="Imag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lecthome.co.nz/matrix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24"/>
  <sheetViews>
    <sheetView showGridLines="0" tabSelected="1" workbookViewId="0">
      <selection activeCell="AH66" sqref="AH66"/>
    </sheetView>
  </sheetViews>
  <sheetFormatPr defaultColWidth="14.3984375" defaultRowHeight="15" customHeight="1" outlineLevelRow="1" outlineLevelCol="1" x14ac:dyDescent="0.3"/>
  <cols>
    <col min="1" max="1" width="3.296875" customWidth="1"/>
    <col min="2" max="3" width="2.296875" customWidth="1"/>
    <col min="4" max="4" width="30.59765625" customWidth="1"/>
    <col min="5" max="8" width="19.8984375" customWidth="1"/>
    <col min="9" max="9" width="22.09765625" customWidth="1"/>
    <col min="10" max="10" width="3.296875" customWidth="1"/>
    <col min="11" max="11" width="24.69921875" hidden="1" customWidth="1" outlineLevel="1"/>
    <col min="12" max="13" width="14.09765625" hidden="1" customWidth="1" outlineLevel="1"/>
    <col min="14" max="14" width="14.8984375" hidden="1" customWidth="1" outlineLevel="1"/>
    <col min="15" max="16" width="8.69921875" hidden="1" customWidth="1" outlineLevel="1"/>
    <col min="17" max="17" width="16.8984375" hidden="1" customWidth="1" outlineLevel="1"/>
    <col min="18" max="19" width="9.09765625" hidden="1" customWidth="1" outlineLevel="1"/>
    <col min="20" max="20" width="11.8984375" hidden="1" customWidth="1" outlineLevel="1"/>
    <col min="21" max="22" width="9.09765625" hidden="1" customWidth="1" outlineLevel="1"/>
    <col min="23" max="23" width="12.09765625" hidden="1" customWidth="1" outlineLevel="1"/>
    <col min="24" max="25" width="9.09765625" hidden="1" customWidth="1" outlineLevel="1"/>
    <col min="26" max="26" width="13.69921875" hidden="1" customWidth="1" outlineLevel="1"/>
    <col min="27" max="27" width="9.09765625" hidden="1" customWidth="1" outlineLevel="1"/>
    <col min="28" max="28" width="10.69921875" hidden="1" customWidth="1" outlineLevel="1"/>
    <col min="29" max="31" width="9.09765625" hidden="1" customWidth="1" outlineLevel="1"/>
    <col min="32" max="32" width="14.3984375" collapsed="1"/>
  </cols>
  <sheetData>
    <row r="1" spans="1:31" ht="11.25" customHeight="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4"/>
      <c r="S1" s="4"/>
      <c r="T1" s="4"/>
      <c r="U1" s="4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98.25" customHeight="1" x14ac:dyDescent="0.3">
      <c r="A2" s="5"/>
      <c r="B2" s="395" t="s">
        <v>0</v>
      </c>
      <c r="C2" s="396"/>
      <c r="D2" s="396"/>
      <c r="E2" s="396"/>
      <c r="F2" s="396"/>
      <c r="G2" s="6"/>
      <c r="H2" s="6"/>
      <c r="I2" s="6"/>
      <c r="J2" s="7"/>
      <c r="K2" s="5"/>
      <c r="L2" s="5"/>
      <c r="M2" s="1"/>
      <c r="N2" s="1"/>
      <c r="O2" s="1"/>
      <c r="P2" s="1"/>
      <c r="Q2" s="1"/>
      <c r="R2" s="8"/>
      <c r="S2" s="8"/>
      <c r="T2" s="8"/>
      <c r="U2" s="6"/>
      <c r="V2" s="6"/>
      <c r="W2" s="6"/>
      <c r="X2" s="6"/>
      <c r="Y2" s="6"/>
      <c r="Z2" s="6"/>
      <c r="AA2" s="2"/>
      <c r="AB2" s="2"/>
      <c r="AC2" s="2"/>
      <c r="AD2" s="2"/>
      <c r="AE2" s="2"/>
    </row>
    <row r="3" spans="1:31" ht="28.5" customHeight="1" x14ac:dyDescent="0.3">
      <c r="A3" s="5"/>
      <c r="B3" s="397" t="s">
        <v>1</v>
      </c>
      <c r="C3" s="396"/>
      <c r="D3" s="396"/>
      <c r="E3" s="398"/>
      <c r="F3" s="396"/>
      <c r="G3" s="6"/>
      <c r="H3" s="404" t="s">
        <v>2</v>
      </c>
      <c r="I3" s="396"/>
      <c r="J3" s="7"/>
      <c r="K3" s="5"/>
      <c r="L3" s="5"/>
      <c r="M3" s="1"/>
      <c r="N3" s="2"/>
      <c r="O3" s="2"/>
      <c r="P3" s="2"/>
      <c r="Q3" s="2"/>
      <c r="R3" s="6"/>
      <c r="S3" s="6"/>
      <c r="T3" s="6"/>
      <c r="U3" s="6"/>
      <c r="V3" s="6"/>
      <c r="W3" s="6"/>
      <c r="X3" s="6"/>
      <c r="Y3" s="6"/>
      <c r="Z3" s="6"/>
      <c r="AA3" s="2"/>
      <c r="AB3" s="2"/>
      <c r="AC3" s="2"/>
      <c r="AD3" s="2"/>
      <c r="AE3" s="2"/>
    </row>
    <row r="4" spans="1:31" ht="20.25" customHeight="1" x14ac:dyDescent="0.3">
      <c r="A4" s="9"/>
      <c r="B4" s="10">
        <v>1</v>
      </c>
      <c r="C4" s="11" t="s">
        <v>3</v>
      </c>
      <c r="D4" s="11"/>
      <c r="E4" s="11"/>
      <c r="F4" s="12"/>
      <c r="G4" s="12"/>
      <c r="H4" s="12"/>
      <c r="I4" s="13"/>
      <c r="J4" s="14"/>
      <c r="K4" s="15"/>
      <c r="L4" s="16"/>
      <c r="M4" s="17"/>
      <c r="N4" s="18" t="s">
        <v>4</v>
      </c>
      <c r="O4" s="19"/>
      <c r="P4" s="19"/>
      <c r="Q4" s="19"/>
      <c r="R4" s="6"/>
      <c r="S4" s="6"/>
      <c r="T4" s="6"/>
      <c r="U4" s="6"/>
      <c r="V4" s="6"/>
      <c r="W4" s="6"/>
      <c r="X4" s="6"/>
      <c r="Y4" s="6"/>
      <c r="Z4" s="6"/>
      <c r="AA4" s="19"/>
      <c r="AB4" s="19"/>
      <c r="AC4" s="2"/>
      <c r="AD4" s="19"/>
      <c r="AE4" s="2"/>
    </row>
    <row r="5" spans="1:31" ht="19.5" customHeight="1" x14ac:dyDescent="0.3">
      <c r="A5" s="20"/>
      <c r="B5" s="21"/>
      <c r="C5" s="22"/>
      <c r="D5" s="22"/>
      <c r="E5" s="23" t="s">
        <v>5</v>
      </c>
      <c r="F5" s="24" t="s">
        <v>6</v>
      </c>
      <c r="G5" s="24" t="s">
        <v>7</v>
      </c>
      <c r="H5" s="24" t="s">
        <v>8</v>
      </c>
      <c r="I5" s="25"/>
      <c r="J5" s="26"/>
      <c r="K5" s="5"/>
      <c r="L5" s="5"/>
      <c r="M5" s="1"/>
      <c r="N5" s="27" t="s">
        <v>9</v>
      </c>
      <c r="O5" s="2"/>
      <c r="P5" s="2"/>
      <c r="Q5" s="2"/>
      <c r="R5" s="6"/>
      <c r="S5" s="6"/>
      <c r="T5" s="6"/>
      <c r="U5" s="6"/>
      <c r="V5" s="6"/>
      <c r="W5" s="6"/>
      <c r="X5" s="6"/>
      <c r="Y5" s="6"/>
      <c r="Z5" s="28" t="s">
        <v>10</v>
      </c>
      <c r="AA5" s="29" t="s">
        <v>11</v>
      </c>
      <c r="AB5" s="30" t="s">
        <v>12</v>
      </c>
      <c r="AC5" s="2"/>
      <c r="AD5" s="31" t="s">
        <v>13</v>
      </c>
      <c r="AE5" s="2"/>
    </row>
    <row r="6" spans="1:31" ht="19.5" customHeight="1" x14ac:dyDescent="0.3">
      <c r="A6" s="20"/>
      <c r="B6" s="21"/>
      <c r="C6" s="22"/>
      <c r="D6" s="32" t="s">
        <v>14</v>
      </c>
      <c r="E6" s="376"/>
      <c r="F6" s="376"/>
      <c r="G6" s="376"/>
      <c r="H6" s="376"/>
      <c r="I6" s="33"/>
      <c r="J6" s="34"/>
      <c r="K6" s="35">
        <v>1000000</v>
      </c>
      <c r="L6" s="5"/>
      <c r="M6" s="1"/>
      <c r="N6" s="36"/>
      <c r="O6" s="2"/>
      <c r="P6" s="2"/>
      <c r="Q6" s="2"/>
      <c r="R6" s="6"/>
      <c r="S6" s="6"/>
      <c r="T6" s="6"/>
      <c r="U6" s="6"/>
      <c r="V6" s="6"/>
      <c r="W6" s="6"/>
      <c r="X6" s="6"/>
      <c r="Y6" s="6"/>
      <c r="Z6" s="37" t="s">
        <v>15</v>
      </c>
      <c r="AA6" s="38">
        <v>1800</v>
      </c>
      <c r="AB6" s="39">
        <v>380</v>
      </c>
      <c r="AC6" s="2"/>
      <c r="AD6" s="40">
        <v>0</v>
      </c>
      <c r="AE6" s="2"/>
    </row>
    <row r="7" spans="1:31" ht="19.5" customHeight="1" x14ac:dyDescent="0.3">
      <c r="A7" s="20"/>
      <c r="B7" s="21"/>
      <c r="C7" s="22"/>
      <c r="D7" s="32" t="s">
        <v>16</v>
      </c>
      <c r="E7" s="376"/>
      <c r="F7" s="376"/>
      <c r="G7" s="376"/>
      <c r="H7" s="376"/>
      <c r="I7" s="33"/>
      <c r="J7" s="41"/>
      <c r="K7" s="42"/>
      <c r="L7" s="5"/>
      <c r="M7" s="1"/>
      <c r="N7" s="36"/>
      <c r="O7" s="2"/>
      <c r="P7" s="2"/>
      <c r="Q7" s="2"/>
      <c r="R7" s="6"/>
      <c r="S7" s="6"/>
      <c r="T7" s="6"/>
      <c r="U7" s="6"/>
      <c r="V7" s="6"/>
      <c r="W7" s="43" t="s">
        <v>17</v>
      </c>
      <c r="X7" s="44">
        <v>30</v>
      </c>
      <c r="Y7" s="6"/>
      <c r="Z7" s="45" t="s">
        <v>18</v>
      </c>
      <c r="AA7" s="38">
        <v>1250</v>
      </c>
      <c r="AB7" s="39">
        <v>380</v>
      </c>
      <c r="AC7" s="2"/>
      <c r="AD7" s="40">
        <v>0.03</v>
      </c>
      <c r="AE7" s="2"/>
    </row>
    <row r="8" spans="1:31" ht="19.5" customHeight="1" x14ac:dyDescent="0.3">
      <c r="A8" s="46"/>
      <c r="B8" s="21"/>
      <c r="C8" s="22"/>
      <c r="D8" s="47" t="s">
        <v>19</v>
      </c>
      <c r="E8" s="376"/>
      <c r="F8" s="376"/>
      <c r="G8" s="376"/>
      <c r="H8" s="376"/>
      <c r="I8" s="33"/>
      <c r="J8" s="41"/>
      <c r="K8" s="42"/>
      <c r="L8" s="1"/>
      <c r="M8" s="1"/>
      <c r="N8" s="36"/>
      <c r="O8" s="2"/>
      <c r="P8" s="2"/>
      <c r="Q8" s="2"/>
      <c r="R8" s="6"/>
      <c r="S8" s="6"/>
      <c r="T8" s="6"/>
      <c r="U8" s="6"/>
      <c r="V8" s="2"/>
      <c r="W8" s="43" t="s">
        <v>20</v>
      </c>
      <c r="X8" s="44">
        <v>12</v>
      </c>
      <c r="Y8" s="2"/>
      <c r="Z8" s="45" t="s">
        <v>21</v>
      </c>
      <c r="AA8" s="38">
        <v>1800</v>
      </c>
      <c r="AB8" s="39">
        <v>380</v>
      </c>
      <c r="AC8" s="2"/>
      <c r="AD8" s="40">
        <v>0.04</v>
      </c>
      <c r="AE8" s="2"/>
    </row>
    <row r="9" spans="1:31" ht="19.5" customHeight="1" x14ac:dyDescent="0.3">
      <c r="A9" s="20"/>
      <c r="B9" s="21"/>
      <c r="C9" s="22"/>
      <c r="D9" s="48" t="s">
        <v>22</v>
      </c>
      <c r="E9" s="374">
        <f t="shared" ref="E9:H9" si="0">E6</f>
        <v>0</v>
      </c>
      <c r="F9" s="374">
        <f t="shared" si="0"/>
        <v>0</v>
      </c>
      <c r="G9" s="374">
        <f t="shared" si="0"/>
        <v>0</v>
      </c>
      <c r="H9" s="374">
        <f t="shared" si="0"/>
        <v>0</v>
      </c>
      <c r="I9" s="33"/>
      <c r="J9" s="7"/>
      <c r="K9" s="5"/>
      <c r="L9" s="49" t="s">
        <v>23</v>
      </c>
      <c r="M9" s="50">
        <f>COUNTIFS(E9:H9,"&gt;"&amp;0)</f>
        <v>0</v>
      </c>
      <c r="N9" s="2"/>
      <c r="O9" s="2"/>
      <c r="P9" s="2"/>
      <c r="Q9" s="2"/>
      <c r="R9" s="4"/>
      <c r="S9" s="4"/>
      <c r="T9" s="4"/>
      <c r="U9" s="4" t="s">
        <v>24</v>
      </c>
      <c r="V9" s="4"/>
      <c r="W9" s="4"/>
      <c r="X9" s="51">
        <v>1.5299999999999999E-2</v>
      </c>
      <c r="Y9" s="52">
        <v>2132.5700000000002</v>
      </c>
      <c r="Z9" s="4"/>
      <c r="AA9" s="4"/>
      <c r="AB9" s="2"/>
      <c r="AC9" s="2"/>
      <c r="AD9" s="2"/>
      <c r="AE9" s="2"/>
    </row>
    <row r="10" spans="1:31" ht="19.5" customHeight="1" x14ac:dyDescent="0.3">
      <c r="A10" s="20"/>
      <c r="B10" s="21"/>
      <c r="C10" s="22"/>
      <c r="D10" s="48" t="s">
        <v>25</v>
      </c>
      <c r="E10" s="390"/>
      <c r="F10" s="390"/>
      <c r="G10" s="390"/>
      <c r="H10" s="390"/>
      <c r="I10" s="33"/>
      <c r="J10" s="34"/>
      <c r="K10" s="35"/>
      <c r="L10" s="5"/>
      <c r="M10" s="1"/>
      <c r="N10" s="36"/>
      <c r="O10" s="2"/>
      <c r="P10" s="2"/>
      <c r="Q10" s="2"/>
      <c r="R10" s="6"/>
      <c r="S10" s="6"/>
      <c r="T10" s="6"/>
      <c r="U10" s="6"/>
      <c r="V10" s="2"/>
      <c r="W10" s="2"/>
      <c r="X10" s="36"/>
      <c r="Y10" s="2"/>
      <c r="Z10" s="45" t="s">
        <v>26</v>
      </c>
      <c r="AA10" s="38">
        <v>1250</v>
      </c>
      <c r="AB10" s="39">
        <v>380</v>
      </c>
      <c r="AC10" s="2"/>
      <c r="AD10" s="40">
        <v>0.06</v>
      </c>
      <c r="AE10" s="2"/>
    </row>
    <row r="11" spans="1:31" ht="19.5" customHeight="1" x14ac:dyDescent="0.3">
      <c r="A11" s="20"/>
      <c r="B11" s="21"/>
      <c r="C11" s="22"/>
      <c r="D11" s="48" t="s">
        <v>27</v>
      </c>
      <c r="E11" s="53">
        <f>('ADDITIONAL INFO'!R55-(E6*E10))+(E7*$X$11)+E8</f>
        <v>0</v>
      </c>
      <c r="F11" s="53">
        <f>('ADDITIONAL INFO'!S55-(F6*F10))+(F7*$X$11)+F8</f>
        <v>0</v>
      </c>
      <c r="G11" s="53">
        <f>('ADDITIONAL INFO'!T55-(G6*G10))+(G7*$X$11)+G8</f>
        <v>0</v>
      </c>
      <c r="H11" s="53">
        <f>('ADDITIONAL INFO'!U55-(H6*H10))+(H7*$X$11)+H8</f>
        <v>0</v>
      </c>
      <c r="I11" s="33"/>
      <c r="J11" s="26"/>
      <c r="K11" s="5"/>
      <c r="L11" s="5"/>
      <c r="M11" s="1"/>
      <c r="N11" s="2"/>
      <c r="O11" s="2"/>
      <c r="P11" s="2"/>
      <c r="Q11" s="2"/>
      <c r="R11" s="6"/>
      <c r="S11" s="6"/>
      <c r="T11" s="6"/>
      <c r="U11" s="4" t="s">
        <v>28</v>
      </c>
      <c r="V11" s="4"/>
      <c r="W11" s="4"/>
      <c r="X11" s="54">
        <v>0.8</v>
      </c>
      <c r="Y11" s="2"/>
      <c r="Z11" s="55" t="s">
        <v>29</v>
      </c>
      <c r="AA11" s="56">
        <v>1250</v>
      </c>
      <c r="AB11" s="57">
        <v>380</v>
      </c>
      <c r="AC11" s="2"/>
      <c r="AD11" s="40">
        <v>0.08</v>
      </c>
      <c r="AE11" s="2"/>
    </row>
    <row r="12" spans="1:31" ht="19.5" customHeight="1" x14ac:dyDescent="0.3">
      <c r="A12" s="20"/>
      <c r="B12" s="21"/>
      <c r="C12" s="22"/>
      <c r="D12" s="58"/>
      <c r="E12" s="22"/>
      <c r="F12" s="59"/>
      <c r="G12" s="59"/>
      <c r="H12" s="60" t="s">
        <v>30</v>
      </c>
      <c r="I12" s="61" t="s">
        <v>31</v>
      </c>
      <c r="J12" s="62"/>
      <c r="K12" s="5"/>
      <c r="L12" s="63" t="s">
        <v>32</v>
      </c>
      <c r="M12" s="64">
        <f>MIN($Y$9,E6*$X$9)+MIN($Y$9,F6*$X$9)+MIN($Y$9,G6*$X$9)+MIN($Y$9,H6*$X$9)</f>
        <v>0</v>
      </c>
      <c r="N12" s="2"/>
      <c r="O12" s="2"/>
      <c r="P12" s="2"/>
      <c r="Q12" s="2"/>
      <c r="R12" s="6"/>
      <c r="S12" s="6"/>
      <c r="T12" s="6"/>
      <c r="U12" s="4"/>
      <c r="V12" s="4"/>
      <c r="W12" s="4"/>
      <c r="X12" s="54"/>
      <c r="Y12" s="2"/>
      <c r="Z12" s="65"/>
      <c r="AA12" s="38"/>
      <c r="AB12" s="38"/>
      <c r="AC12" s="2"/>
      <c r="AD12" s="66">
        <v>0.1</v>
      </c>
      <c r="AE12" s="2"/>
    </row>
    <row r="13" spans="1:31" ht="19.5" customHeight="1" x14ac:dyDescent="0.3">
      <c r="A13" s="20"/>
      <c r="B13" s="21"/>
      <c r="C13" s="67"/>
      <c r="D13" s="6"/>
      <c r="E13" s="68"/>
      <c r="F13" s="59"/>
      <c r="G13" s="6"/>
      <c r="H13" s="69">
        <f>SUM(E11:H11)-M12</f>
        <v>0</v>
      </c>
      <c r="I13" s="70">
        <f>H13/$X$8</f>
        <v>0</v>
      </c>
      <c r="J13" s="7"/>
      <c r="K13" s="5"/>
      <c r="L13" s="5"/>
      <c r="M13" s="1"/>
      <c r="N13" s="2"/>
      <c r="O13" s="2"/>
      <c r="P13" s="2"/>
      <c r="Q13" s="2"/>
      <c r="R13" s="4"/>
      <c r="S13" s="4"/>
      <c r="T13" s="4"/>
      <c r="U13" s="4" t="s">
        <v>33</v>
      </c>
      <c r="V13" s="4"/>
      <c r="W13" s="4"/>
      <c r="X13" s="54">
        <v>0</v>
      </c>
      <c r="Y13" s="2"/>
      <c r="Z13" s="4"/>
      <c r="AA13" s="4"/>
      <c r="AB13" s="2"/>
      <c r="AC13" s="2"/>
      <c r="AD13" s="2"/>
      <c r="AE13" s="2"/>
    </row>
    <row r="14" spans="1:31" ht="19.5" customHeight="1" x14ac:dyDescent="0.3">
      <c r="A14" s="20"/>
      <c r="B14" s="21"/>
      <c r="C14" s="22"/>
      <c r="D14" s="22"/>
      <c r="E14" s="22"/>
      <c r="F14" s="59"/>
      <c r="G14" s="6"/>
      <c r="H14" s="6"/>
      <c r="I14" s="71"/>
      <c r="J14" s="7"/>
      <c r="K14" s="5"/>
      <c r="L14" s="5"/>
      <c r="M14" s="1"/>
      <c r="N14" s="2"/>
      <c r="O14" s="2"/>
      <c r="P14" s="2"/>
      <c r="Q14" s="2"/>
      <c r="R14" s="4"/>
      <c r="S14" s="4"/>
      <c r="T14" s="4"/>
      <c r="U14" s="4" t="s">
        <v>34</v>
      </c>
      <c r="V14" s="4"/>
      <c r="W14" s="4"/>
      <c r="X14" s="72">
        <v>3.7999999999999999E-2</v>
      </c>
      <c r="Y14" s="2"/>
      <c r="Z14" s="73" t="s">
        <v>35</v>
      </c>
      <c r="AA14" s="74" t="e">
        <f ca="1">OFFSET($AA$5,MATCH(#REF!,$Z$6:$Z$11,0),0)+IF(#REF!=0,0,OFFSET($AB$5,MATCH(#REF!,$Z$6:$Z$11,0),0))*#REF!+IF($M$9&lt;=2,0,#REF!)</f>
        <v>#REF!</v>
      </c>
      <c r="AB14" s="2"/>
      <c r="AC14" s="2"/>
      <c r="AD14" s="2"/>
      <c r="AE14" s="2"/>
    </row>
    <row r="15" spans="1:31" ht="19.5" customHeight="1" x14ac:dyDescent="0.3">
      <c r="A15" s="20"/>
      <c r="B15" s="75">
        <f>B4+1</f>
        <v>2</v>
      </c>
      <c r="C15" s="76" t="s">
        <v>36</v>
      </c>
      <c r="D15" s="76"/>
      <c r="E15" s="76"/>
      <c r="F15" s="76"/>
      <c r="G15" s="76"/>
      <c r="H15" s="76"/>
      <c r="I15" s="77" t="s">
        <v>37</v>
      </c>
      <c r="J15" s="7"/>
      <c r="K15" s="5"/>
      <c r="L15" s="5"/>
      <c r="M15" s="78"/>
      <c r="N15" s="2"/>
      <c r="O15" s="2"/>
      <c r="P15" s="2"/>
      <c r="Q15" s="2"/>
      <c r="R15" s="4"/>
      <c r="S15" s="4"/>
      <c r="T15" s="4"/>
      <c r="U15" s="4" t="s">
        <v>38</v>
      </c>
      <c r="V15" s="2"/>
      <c r="W15" s="2"/>
      <c r="X15" s="72">
        <v>0.2</v>
      </c>
      <c r="Y15" s="2"/>
      <c r="Z15" s="2"/>
      <c r="AA15" s="2"/>
      <c r="AB15" s="2"/>
      <c r="AC15" s="2"/>
      <c r="AD15" s="2"/>
      <c r="AE15" s="2"/>
    </row>
    <row r="16" spans="1:31" ht="20.25" customHeight="1" x14ac:dyDescent="0.3">
      <c r="A16" s="9"/>
      <c r="B16" s="79"/>
      <c r="C16" s="80"/>
      <c r="D16" s="81"/>
      <c r="E16" s="81"/>
      <c r="F16" s="80"/>
      <c r="G16" s="80"/>
      <c r="H16" s="82"/>
      <c r="I16" s="83"/>
      <c r="J16" s="14"/>
      <c r="K16" s="15"/>
      <c r="L16" s="16"/>
      <c r="M16" s="17"/>
      <c r="N16" s="19"/>
      <c r="O16" s="19"/>
      <c r="P16" s="19"/>
      <c r="Q16" s="19"/>
      <c r="R16" s="84"/>
      <c r="S16" s="84"/>
      <c r="T16" s="84"/>
      <c r="U16" s="84"/>
      <c r="V16" s="85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18.75" customHeight="1" x14ac:dyDescent="0.3">
      <c r="A17" s="20"/>
      <c r="B17" s="21"/>
      <c r="C17" s="22"/>
      <c r="D17" s="86"/>
      <c r="E17" s="87" t="s">
        <v>5</v>
      </c>
      <c r="F17" s="88" t="s">
        <v>6</v>
      </c>
      <c r="G17" s="88" t="s">
        <v>7</v>
      </c>
      <c r="H17" s="88" t="s">
        <v>8</v>
      </c>
      <c r="I17" s="89"/>
      <c r="J17" s="26"/>
      <c r="K17" s="5"/>
      <c r="L17" s="5"/>
      <c r="M17" s="1"/>
      <c r="N17" s="2"/>
      <c r="O17" s="2"/>
      <c r="P17" s="2"/>
      <c r="Q17" s="2"/>
      <c r="R17" s="4"/>
      <c r="S17" s="4"/>
      <c r="T17" s="4"/>
      <c r="U17" s="4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8.75" customHeight="1" x14ac:dyDescent="0.3">
      <c r="A18" s="20"/>
      <c r="B18" s="21"/>
      <c r="C18" s="6"/>
      <c r="D18" s="90" t="s">
        <v>39</v>
      </c>
      <c r="E18" s="377"/>
      <c r="F18" s="377"/>
      <c r="G18" s="377"/>
      <c r="H18" s="377"/>
      <c r="I18" s="89"/>
      <c r="J18" s="26"/>
      <c r="K18" s="5"/>
      <c r="L18" s="5"/>
      <c r="M18" s="91"/>
      <c r="N18" s="2"/>
      <c r="O18" s="2"/>
      <c r="P18" s="2"/>
      <c r="Q18" s="2"/>
      <c r="R18" s="4"/>
      <c r="S18" s="4"/>
      <c r="T18" s="4"/>
      <c r="U18" s="4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8.75" customHeight="1" x14ac:dyDescent="0.3">
      <c r="A19" s="20"/>
      <c r="B19" s="21"/>
      <c r="C19" s="6"/>
      <c r="D19" s="90" t="s">
        <v>40</v>
      </c>
      <c r="E19" s="377"/>
      <c r="F19" s="377"/>
      <c r="G19" s="377"/>
      <c r="H19" s="377"/>
      <c r="I19" s="89"/>
      <c r="J19" s="26"/>
      <c r="K19" s="92" t="s">
        <v>41</v>
      </c>
      <c r="L19" s="92" t="s">
        <v>15</v>
      </c>
      <c r="M19" s="93" t="s">
        <v>5</v>
      </c>
      <c r="N19" s="2"/>
      <c r="O19" s="2"/>
      <c r="P19" s="2"/>
      <c r="Q19" s="2"/>
      <c r="R19" s="4"/>
      <c r="S19" s="4"/>
      <c r="T19" s="71"/>
      <c r="U19" s="94" t="s">
        <v>42</v>
      </c>
      <c r="V19" s="94" t="s">
        <v>43</v>
      </c>
      <c r="W19" s="94" t="s">
        <v>44</v>
      </c>
      <c r="X19" s="94" t="s">
        <v>45</v>
      </c>
      <c r="Y19" s="2"/>
      <c r="Z19" s="2"/>
      <c r="AA19" s="2"/>
      <c r="AB19" s="2"/>
      <c r="AC19" s="2"/>
      <c r="AD19" s="2"/>
      <c r="AE19" s="2"/>
    </row>
    <row r="20" spans="1:31" ht="18.75" customHeight="1" x14ac:dyDescent="0.3">
      <c r="A20" s="20"/>
      <c r="B20" s="21"/>
      <c r="C20" s="6"/>
      <c r="D20" s="90" t="s">
        <v>46</v>
      </c>
      <c r="E20" s="378"/>
      <c r="F20" s="378"/>
      <c r="G20" s="378"/>
      <c r="H20" s="378"/>
      <c r="I20" s="89"/>
      <c r="J20" s="26"/>
      <c r="K20" s="92" t="s">
        <v>47</v>
      </c>
      <c r="L20" s="92" t="s">
        <v>18</v>
      </c>
      <c r="M20" s="95" t="s">
        <v>6</v>
      </c>
      <c r="N20" s="2"/>
      <c r="O20" s="2"/>
      <c r="P20" s="2"/>
      <c r="Q20" s="2"/>
      <c r="R20" s="4"/>
      <c r="S20" s="4"/>
      <c r="T20" s="71"/>
      <c r="U20" s="96" t="s">
        <v>42</v>
      </c>
      <c r="V20" s="96" t="s">
        <v>42</v>
      </c>
      <c r="W20" s="97" t="str">
        <f t="shared" ref="W20:X20" si="1">IF(W18="Household 1","Household 1","Household 2")</f>
        <v>Household 2</v>
      </c>
      <c r="X20" s="97" t="str">
        <f t="shared" si="1"/>
        <v>Household 2</v>
      </c>
      <c r="Y20" s="2"/>
      <c r="Z20" s="2"/>
      <c r="AA20" s="2"/>
      <c r="AB20" s="2"/>
      <c r="AC20" s="2"/>
      <c r="AD20" s="2"/>
      <c r="AE20" s="2"/>
    </row>
    <row r="21" spans="1:31" ht="18.75" customHeight="1" x14ac:dyDescent="0.3">
      <c r="A21" s="20"/>
      <c r="B21" s="21"/>
      <c r="C21" s="22"/>
      <c r="D21" s="98" t="s">
        <v>48</v>
      </c>
      <c r="E21" s="379"/>
      <c r="F21" s="379"/>
      <c r="G21" s="379"/>
      <c r="H21" s="379"/>
      <c r="I21" s="89"/>
      <c r="J21" s="26"/>
      <c r="K21" s="92" t="s">
        <v>49</v>
      </c>
      <c r="L21" s="92" t="s">
        <v>21</v>
      </c>
      <c r="M21" s="95" t="s">
        <v>7</v>
      </c>
      <c r="N21" s="2"/>
      <c r="O21" s="2"/>
      <c r="P21" s="2"/>
      <c r="Q21" s="2"/>
      <c r="R21" s="4"/>
      <c r="S21" s="4"/>
      <c r="T21" s="71"/>
      <c r="U21" s="96"/>
      <c r="V21" s="96" t="s">
        <v>43</v>
      </c>
      <c r="W21" s="96" t="str">
        <f>IF(W20="Household 1","Household 2","Household 3")</f>
        <v>Household 3</v>
      </c>
      <c r="X21" s="96" t="str">
        <f>IF(X19="Household 1","Household 1",IF(X19="Household 2","Household 2","Household 3"))</f>
        <v>Household 3</v>
      </c>
      <c r="Y21" s="2"/>
      <c r="Z21" s="2"/>
      <c r="AA21" s="2"/>
      <c r="AB21" s="2"/>
      <c r="AC21" s="2"/>
      <c r="AD21" s="2"/>
      <c r="AE21" s="2"/>
    </row>
    <row r="22" spans="1:31" ht="18.75" customHeight="1" x14ac:dyDescent="0.3">
      <c r="A22" s="20"/>
      <c r="B22" s="21"/>
      <c r="C22" s="22"/>
      <c r="D22" s="98" t="s">
        <v>50</v>
      </c>
      <c r="E22" s="387"/>
      <c r="F22" s="379"/>
      <c r="G22" s="379"/>
      <c r="H22" s="379"/>
      <c r="I22" s="89"/>
      <c r="J22" s="26"/>
      <c r="K22" s="92" t="s">
        <v>51</v>
      </c>
      <c r="L22" s="92" t="s">
        <v>26</v>
      </c>
      <c r="M22" s="95" t="s">
        <v>8</v>
      </c>
      <c r="N22" s="2"/>
      <c r="O22" s="2"/>
      <c r="P22" s="2"/>
      <c r="Q22" s="19"/>
      <c r="R22" s="84"/>
      <c r="S22" s="84"/>
      <c r="T22" s="71"/>
      <c r="U22" s="96"/>
      <c r="V22" s="96"/>
      <c r="W22" s="96"/>
      <c r="X22" s="96" t="str">
        <f>IF(X21="Household 1","Household 2",IF(X21="Household 2","Household 3","Household 4"))</f>
        <v>Household 4</v>
      </c>
      <c r="Y22" s="2"/>
      <c r="Z22" s="2"/>
      <c r="AA22" s="2"/>
      <c r="AB22" s="2"/>
      <c r="AC22" s="2"/>
      <c r="AD22" s="2"/>
      <c r="AE22" s="2"/>
    </row>
    <row r="23" spans="1:31" ht="18.75" customHeight="1" x14ac:dyDescent="0.3">
      <c r="A23" s="20"/>
      <c r="B23" s="21"/>
      <c r="C23" s="22"/>
      <c r="D23" s="99" t="s">
        <v>52</v>
      </c>
      <c r="E23" s="389" t="str">
        <f>IFERROR(IF(E19="","",VLOOKUP(E19,$Z$6:$AA$11,2,0)+(E20*$AB$6)), )</f>
        <v/>
      </c>
      <c r="F23" s="386" t="str">
        <f>IFERROR(IF(F19="","",IF(F18=E18,"",VLOOKUP(F19,$Z$6:$AA$11,2,0)+(F20*$AB$6))),)</f>
        <v/>
      </c>
      <c r="G23" s="386" t="str">
        <f t="shared" ref="G23:H23" si="2">IFERROR(IF(G19="","",IF(G18=F18,"",VLOOKUP(G19,$Z$6:$AA$11,2,0)+(G20*$AB$6))),)</f>
        <v/>
      </c>
      <c r="H23" s="386" t="str">
        <f t="shared" si="2"/>
        <v/>
      </c>
      <c r="I23" s="89"/>
      <c r="J23" s="26"/>
      <c r="K23" s="92" t="s">
        <v>53</v>
      </c>
      <c r="L23" s="92" t="s">
        <v>29</v>
      </c>
      <c r="M23" s="92"/>
      <c r="N23" s="2"/>
      <c r="O23" s="2"/>
      <c r="P23" s="2"/>
      <c r="Q23" s="2"/>
      <c r="R23" s="4"/>
      <c r="S23" s="4"/>
      <c r="T23" s="71"/>
      <c r="U23" s="100"/>
      <c r="V23" s="100"/>
      <c r="W23" s="100"/>
      <c r="X23" s="100"/>
      <c r="Y23" s="2"/>
      <c r="Z23" s="2"/>
      <c r="AA23" s="2"/>
      <c r="AB23" s="2"/>
      <c r="AC23" s="2"/>
      <c r="AD23" s="2"/>
      <c r="AE23" s="2"/>
    </row>
    <row r="24" spans="1:31" ht="18.75" customHeight="1" x14ac:dyDescent="0.3">
      <c r="A24" s="20"/>
      <c r="B24" s="21"/>
      <c r="C24" s="22"/>
      <c r="D24" s="99" t="s">
        <v>54</v>
      </c>
      <c r="E24" s="388">
        <f t="shared" ref="E24:H24" si="3">MAX(E21,E23)+E22</f>
        <v>0</v>
      </c>
      <c r="F24" s="375">
        <f t="shared" si="3"/>
        <v>0</v>
      </c>
      <c r="G24" s="375">
        <f t="shared" si="3"/>
        <v>0</v>
      </c>
      <c r="H24" s="375">
        <f t="shared" si="3"/>
        <v>0</v>
      </c>
      <c r="I24" s="101">
        <f>SUM(E24:H24)</f>
        <v>0</v>
      </c>
      <c r="J24" s="26"/>
      <c r="K24" s="92" t="s">
        <v>55</v>
      </c>
      <c r="L24" s="92"/>
      <c r="M24" s="92"/>
      <c r="N24" s="2"/>
      <c r="O24" s="2"/>
      <c r="P24" s="2"/>
      <c r="Q24" s="2"/>
      <c r="R24" s="4"/>
      <c r="S24" s="4"/>
      <c r="T24" s="6"/>
      <c r="U24" s="6"/>
      <c r="V24" s="6"/>
      <c r="W24" s="6"/>
      <c r="X24" s="6"/>
      <c r="Y24" s="2"/>
      <c r="Z24" s="2"/>
      <c r="AA24" s="2"/>
      <c r="AB24" s="2"/>
      <c r="AC24" s="2"/>
      <c r="AD24" s="2"/>
      <c r="AE24" s="2"/>
    </row>
    <row r="25" spans="1:31" ht="18.75" customHeight="1" x14ac:dyDescent="0.3">
      <c r="A25" s="20"/>
      <c r="B25" s="21"/>
      <c r="C25" s="22"/>
      <c r="D25" s="102"/>
      <c r="E25" s="405"/>
      <c r="F25" s="396"/>
      <c r="G25" s="396"/>
      <c r="H25" s="396"/>
      <c r="I25" s="71"/>
      <c r="J25" s="26"/>
      <c r="K25" s="5"/>
      <c r="L25" s="5"/>
      <c r="M25" s="1"/>
      <c r="N25" s="2"/>
      <c r="O25" s="2"/>
      <c r="P25" s="2"/>
      <c r="Q25" s="2"/>
      <c r="R25" s="4"/>
      <c r="S25" s="4"/>
      <c r="T25" s="4"/>
      <c r="U25" s="4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8.75" customHeight="1" x14ac:dyDescent="0.3">
      <c r="A26" s="20"/>
      <c r="B26" s="103"/>
      <c r="C26" s="5"/>
      <c r="D26" s="104"/>
      <c r="E26" s="5"/>
      <c r="F26" s="105"/>
      <c r="G26" s="105"/>
      <c r="H26" s="105"/>
      <c r="I26" s="106"/>
      <c r="J26" s="26"/>
      <c r="K26" s="5"/>
      <c r="L26" s="5"/>
      <c r="M26" s="1"/>
      <c r="N26" s="2"/>
      <c r="O26" s="2"/>
      <c r="P26" s="2"/>
      <c r="Q26" s="2"/>
      <c r="R26" s="4"/>
      <c r="S26" s="4"/>
      <c r="T26" s="4"/>
      <c r="U26" s="4"/>
      <c r="V26" s="2"/>
      <c r="W26" s="2"/>
      <c r="X26" s="2"/>
      <c r="Y26" s="2"/>
      <c r="Z26" s="2"/>
      <c r="AA26" s="2"/>
      <c r="AB26" s="107" t="s">
        <v>12</v>
      </c>
      <c r="AC26" s="2"/>
      <c r="AD26" s="2"/>
      <c r="AE26" s="2"/>
    </row>
    <row r="27" spans="1:31" ht="18.75" customHeight="1" x14ac:dyDescent="0.3">
      <c r="A27" s="20"/>
      <c r="B27" s="103"/>
      <c r="C27" s="5"/>
      <c r="D27" s="108" t="s">
        <v>56</v>
      </c>
      <c r="E27" s="23" t="s">
        <v>57</v>
      </c>
      <c r="F27" s="109" t="s">
        <v>58</v>
      </c>
      <c r="G27" s="109" t="s">
        <v>59</v>
      </c>
      <c r="H27" s="109" t="s">
        <v>60</v>
      </c>
      <c r="I27" s="106"/>
      <c r="J27" s="26"/>
      <c r="K27" s="405" t="s">
        <v>61</v>
      </c>
      <c r="L27" s="396"/>
      <c r="M27" s="396"/>
      <c r="N27" s="396"/>
      <c r="O27" s="2"/>
      <c r="P27" s="2"/>
      <c r="Q27" s="2"/>
      <c r="R27" s="4"/>
      <c r="S27" s="4"/>
      <c r="T27" s="4"/>
      <c r="U27" s="4"/>
      <c r="V27" s="2"/>
      <c r="W27" s="2"/>
      <c r="X27" s="2"/>
      <c r="Y27" s="2"/>
      <c r="Z27" s="2"/>
      <c r="AA27" s="2"/>
      <c r="AB27" s="110">
        <v>0</v>
      </c>
      <c r="AC27" s="2"/>
      <c r="AD27" s="2"/>
      <c r="AE27" s="2"/>
    </row>
    <row r="28" spans="1:31" ht="18.75" customHeight="1" x14ac:dyDescent="0.3">
      <c r="A28" s="20"/>
      <c r="B28" s="103"/>
      <c r="C28" s="5"/>
      <c r="D28" s="32" t="s">
        <v>62</v>
      </c>
      <c r="E28" s="380"/>
      <c r="F28" s="380"/>
      <c r="G28" s="380"/>
      <c r="H28" s="380"/>
      <c r="I28" s="106"/>
      <c r="J28" s="26"/>
      <c r="K28" s="5"/>
      <c r="L28" s="5"/>
      <c r="M28" s="1"/>
      <c r="N28" s="2"/>
      <c r="O28" s="2"/>
      <c r="P28" s="2"/>
      <c r="Q28" s="2"/>
      <c r="R28" s="4"/>
      <c r="S28" s="4"/>
      <c r="T28" s="4"/>
      <c r="U28" s="4"/>
      <c r="V28" s="2"/>
      <c r="W28" s="2"/>
      <c r="X28" s="2"/>
      <c r="Y28" s="2"/>
      <c r="Z28" s="2"/>
      <c r="AA28" s="2"/>
      <c r="AB28" s="110">
        <v>1</v>
      </c>
      <c r="AC28" s="2"/>
      <c r="AD28" s="2"/>
      <c r="AE28" s="2"/>
    </row>
    <row r="29" spans="1:31" ht="18.75" customHeight="1" x14ac:dyDescent="0.3">
      <c r="A29" s="20"/>
      <c r="B29" s="103"/>
      <c r="C29" s="5"/>
      <c r="D29" s="32" t="s">
        <v>63</v>
      </c>
      <c r="E29" s="381"/>
      <c r="F29" s="381"/>
      <c r="G29" s="381"/>
      <c r="H29" s="381"/>
      <c r="I29" s="106"/>
      <c r="J29" s="26"/>
      <c r="K29" s="5"/>
      <c r="L29" s="5"/>
      <c r="M29" s="1"/>
      <c r="N29" s="2"/>
      <c r="O29" s="2"/>
      <c r="P29" s="2"/>
      <c r="Q29" s="2"/>
      <c r="R29" s="4"/>
      <c r="S29" s="4"/>
      <c r="T29" s="4"/>
      <c r="U29" s="4"/>
      <c r="V29" s="2"/>
      <c r="W29" s="2"/>
      <c r="X29" s="2"/>
      <c r="Y29" s="2"/>
      <c r="Z29" s="2"/>
      <c r="AA29" s="2"/>
      <c r="AB29" s="110">
        <v>2</v>
      </c>
      <c r="AC29" s="2"/>
      <c r="AD29" s="2"/>
      <c r="AE29" s="2"/>
    </row>
    <row r="30" spans="1:31" ht="18.75" customHeight="1" x14ac:dyDescent="0.3">
      <c r="A30" s="20"/>
      <c r="B30" s="103"/>
      <c r="C30" s="5"/>
      <c r="D30" s="32" t="s">
        <v>64</v>
      </c>
      <c r="E30" s="382"/>
      <c r="F30" s="382"/>
      <c r="G30" s="382"/>
      <c r="H30" s="382"/>
      <c r="I30" s="106"/>
      <c r="J30" s="26"/>
      <c r="K30" s="5"/>
      <c r="L30" s="5"/>
      <c r="M30" s="1"/>
      <c r="N30" s="2"/>
      <c r="O30" s="2"/>
      <c r="P30" s="2"/>
      <c r="Q30" s="2"/>
      <c r="R30" s="4"/>
      <c r="S30" s="4"/>
      <c r="T30" s="4"/>
      <c r="U30" s="4"/>
      <c r="V30" s="2"/>
      <c r="W30" s="2"/>
      <c r="X30" s="2"/>
      <c r="Y30" s="2"/>
      <c r="Z30" s="2"/>
      <c r="AA30" s="2"/>
      <c r="AB30" s="110">
        <v>3</v>
      </c>
      <c r="AC30" s="2"/>
      <c r="AD30" s="2"/>
      <c r="AE30" s="2"/>
    </row>
    <row r="31" spans="1:31" ht="18.75" customHeight="1" x14ac:dyDescent="0.3">
      <c r="A31" s="20"/>
      <c r="B31" s="103"/>
      <c r="C31" s="5"/>
      <c r="D31" s="32" t="s">
        <v>65</v>
      </c>
      <c r="E31" s="383"/>
      <c r="F31" s="383"/>
      <c r="G31" s="383"/>
      <c r="H31" s="383"/>
      <c r="I31" s="106"/>
      <c r="J31" s="26"/>
      <c r="K31" s="5"/>
      <c r="L31" s="5"/>
      <c r="M31" s="1"/>
      <c r="N31" s="2"/>
      <c r="O31" s="2"/>
      <c r="P31" s="2"/>
      <c r="Q31" s="2"/>
      <c r="R31" s="4"/>
      <c r="S31" s="4"/>
      <c r="T31" s="4"/>
      <c r="U31" s="4"/>
      <c r="V31" s="2"/>
      <c r="W31" s="2"/>
      <c r="X31" s="2"/>
      <c r="Y31" s="2"/>
      <c r="Z31" s="2"/>
      <c r="AA31" s="2"/>
      <c r="AB31" s="110">
        <v>4</v>
      </c>
      <c r="AC31" s="2"/>
      <c r="AD31" s="2"/>
      <c r="AE31" s="2"/>
    </row>
    <row r="32" spans="1:31" ht="18.75" customHeight="1" x14ac:dyDescent="0.3">
      <c r="A32" s="20"/>
      <c r="B32" s="103"/>
      <c r="C32" s="5"/>
      <c r="D32" s="63" t="s">
        <v>66</v>
      </c>
      <c r="E32" s="111">
        <f>MAX($Z$32,E31+$Z$33)</f>
        <v>5.7500000000000002E-2</v>
      </c>
      <c r="F32" s="111">
        <f t="shared" ref="F32:H32" si="4">MAX($Z$32,F31+$Z$33)</f>
        <v>5.7500000000000002E-2</v>
      </c>
      <c r="G32" s="111">
        <f t="shared" si="4"/>
        <v>5.7500000000000002E-2</v>
      </c>
      <c r="H32" s="111">
        <f t="shared" si="4"/>
        <v>5.7500000000000002E-2</v>
      </c>
      <c r="I32" s="106"/>
      <c r="J32" s="26"/>
      <c r="K32" s="5"/>
      <c r="L32" s="5"/>
      <c r="M32" s="112">
        <f>X7*$X$8</f>
        <v>360</v>
      </c>
      <c r="N32" s="112">
        <f>X7*$X$8</f>
        <v>360</v>
      </c>
      <c r="O32" s="112">
        <f>X7*$X$8</f>
        <v>360</v>
      </c>
      <c r="P32" s="112">
        <f>X7*$X$8</f>
        <v>360</v>
      </c>
      <c r="Q32" s="2"/>
      <c r="R32" s="4"/>
      <c r="S32" s="4"/>
      <c r="T32" s="4" t="s">
        <v>67</v>
      </c>
      <c r="U32" s="113">
        <v>5.8000000000000003E-2</v>
      </c>
      <c r="V32" s="4"/>
      <c r="W32" s="4" t="s">
        <v>68</v>
      </c>
      <c r="X32" s="2"/>
      <c r="Y32" s="2"/>
      <c r="Z32" s="114">
        <v>5.7500000000000002E-2</v>
      </c>
      <c r="AA32" s="2"/>
      <c r="AB32" s="110">
        <v>5</v>
      </c>
      <c r="AC32" s="2"/>
      <c r="AD32" s="2"/>
      <c r="AE32" s="2"/>
    </row>
    <row r="33" spans="1:31" ht="18.75" customHeight="1" x14ac:dyDescent="0.3">
      <c r="A33" s="20"/>
      <c r="B33" s="103"/>
      <c r="C33" s="5"/>
      <c r="D33" s="32" t="s">
        <v>69</v>
      </c>
      <c r="E33" s="115">
        <f>MAX(E30,IF(OR(ISTEXT($M$33),ISTEXT($M$32)),0,PMT($M$33,$M$32,-$E$29)))</f>
        <v>0</v>
      </c>
      <c r="F33" s="115">
        <f>MAX(F30,IF(OR(ISTEXT($N$33),ISTEXT($N$32)),0,PMT($N$33,$N$32,-$F$29)))</f>
        <v>0</v>
      </c>
      <c r="G33" s="116">
        <f>MAX(G30,IF(OR(ISTEXT($O$33),ISTEXT($O$32)),0,PMT($O$33,$O$32,-$G$29)))</f>
        <v>0</v>
      </c>
      <c r="H33" s="116">
        <f>MAX(H30,IF(OR(ISTEXT($P$33),ISTEXT($P$32)),0,PMT($P$33,$P$32,-$H$29)))</f>
        <v>0</v>
      </c>
      <c r="I33" s="117">
        <f>SUM(E33:H33)</f>
        <v>0</v>
      </c>
      <c r="J33" s="26"/>
      <c r="K33" s="5"/>
      <c r="L33" s="5"/>
      <c r="M33" s="118">
        <f t="shared" ref="M33:P33" si="5">IF(E32/$X$8=0,"",E32/$X$8)</f>
        <v>4.7916666666666672E-3</v>
      </c>
      <c r="N33" s="118">
        <f t="shared" si="5"/>
        <v>4.7916666666666672E-3</v>
      </c>
      <c r="O33" s="118">
        <f t="shared" si="5"/>
        <v>4.7916666666666672E-3</v>
      </c>
      <c r="P33" s="118">
        <f t="shared" si="5"/>
        <v>4.7916666666666672E-3</v>
      </c>
      <c r="Q33" s="2"/>
      <c r="R33" s="4"/>
      <c r="S33" s="4"/>
      <c r="T33" s="4"/>
      <c r="U33" s="4"/>
      <c r="V33" s="4"/>
      <c r="W33" s="4" t="s">
        <v>70</v>
      </c>
      <c r="X33" s="2"/>
      <c r="Y33" s="2"/>
      <c r="Z33" s="114">
        <v>2.5000000000000001E-2</v>
      </c>
      <c r="AA33" s="2"/>
      <c r="AB33" s="110">
        <v>6</v>
      </c>
      <c r="AC33" s="2"/>
      <c r="AD33" s="2"/>
      <c r="AE33" s="2"/>
    </row>
    <row r="34" spans="1:31" ht="18.75" customHeight="1" x14ac:dyDescent="0.3">
      <c r="A34" s="20"/>
      <c r="B34" s="103"/>
      <c r="C34" s="20"/>
      <c r="D34" s="119"/>
      <c r="E34" s="6"/>
      <c r="F34" s="120"/>
      <c r="G34" s="120"/>
      <c r="H34" s="6"/>
      <c r="I34" s="71"/>
      <c r="J34" s="121"/>
      <c r="K34" s="122"/>
      <c r="L34" s="5"/>
      <c r="M34" s="123">
        <f>IF(OR(ISTEXT($M$33),ISTEXT($M$32)),0,PMT($M$33,$M$32,-$E$29))</f>
        <v>0</v>
      </c>
      <c r="N34" s="123">
        <f>IF(OR(ISTEXT($N$33),ISTEXT($N$32)),0,PMT($N$33,$N$32,-$F$29))</f>
        <v>0</v>
      </c>
      <c r="O34" s="123">
        <f>IF(OR(ISTEXT($O$33),ISTEXT($O$32)),0,PMT($O$33,$O$32,-$G$29))</f>
        <v>0</v>
      </c>
      <c r="P34" s="123">
        <f>IF(OR(ISTEXT($P$33),ISTEXT($P$32)),0,PMT($P$33,$P$32,-$H$29))</f>
        <v>0</v>
      </c>
      <c r="Q34" s="2"/>
      <c r="R34" s="4"/>
      <c r="S34" s="4"/>
      <c r="T34" s="4"/>
      <c r="U34" s="4"/>
      <c r="V34" s="2"/>
      <c r="W34" s="2"/>
      <c r="X34" s="2"/>
      <c r="Y34" s="2"/>
      <c r="Z34" s="2"/>
      <c r="AA34" s="2"/>
      <c r="AB34" s="110">
        <v>7</v>
      </c>
      <c r="AC34" s="2"/>
      <c r="AD34" s="2"/>
      <c r="AE34" s="2"/>
    </row>
    <row r="35" spans="1:31" ht="12" customHeight="1" x14ac:dyDescent="0.3">
      <c r="A35" s="20"/>
      <c r="B35" s="103"/>
      <c r="C35" s="20"/>
      <c r="D35" s="119"/>
      <c r="E35" s="124" t="s">
        <v>71</v>
      </c>
      <c r="F35" s="124" t="s">
        <v>72</v>
      </c>
      <c r="G35" s="124" t="s">
        <v>37</v>
      </c>
      <c r="H35" s="6"/>
      <c r="I35" s="71"/>
      <c r="J35" s="7"/>
      <c r="K35" s="5"/>
      <c r="L35" s="5"/>
      <c r="M35" s="1"/>
      <c r="N35" s="2"/>
      <c r="O35" s="2"/>
      <c r="P35" s="2"/>
      <c r="Q35" s="2"/>
      <c r="R35" s="4"/>
      <c r="S35" s="4"/>
      <c r="T35" s="4"/>
      <c r="U35" s="4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0.25" customHeight="1" x14ac:dyDescent="0.3">
      <c r="A36" s="20"/>
      <c r="B36" s="103"/>
      <c r="C36" s="20"/>
      <c r="D36" s="119" t="s">
        <v>73</v>
      </c>
      <c r="E36" s="384"/>
      <c r="F36" s="385"/>
      <c r="G36" s="385"/>
      <c r="H36" s="6"/>
      <c r="I36" s="117">
        <f>SUM(G36:G40)</f>
        <v>0</v>
      </c>
      <c r="J36" s="125"/>
      <c r="K36" s="126"/>
      <c r="L36" s="5"/>
      <c r="M36" s="1"/>
      <c r="N36" s="2"/>
      <c r="O36" s="2"/>
      <c r="P36" s="2"/>
      <c r="Q36" s="2"/>
      <c r="R36" s="4"/>
      <c r="S36" s="4"/>
      <c r="T36" s="4"/>
      <c r="U36" s="4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0.25" customHeight="1" outlineLevel="1" x14ac:dyDescent="0.3">
      <c r="A37" s="20"/>
      <c r="B37" s="103"/>
      <c r="C37" s="20"/>
      <c r="D37" s="119"/>
      <c r="E37" s="384"/>
      <c r="F37" s="385"/>
      <c r="G37" s="385"/>
      <c r="H37" s="6"/>
      <c r="I37" s="71"/>
      <c r="J37" s="3"/>
      <c r="K37" s="2"/>
      <c r="L37" s="127"/>
      <c r="M37" s="91"/>
      <c r="N37" s="2"/>
      <c r="O37" s="2"/>
      <c r="P37" s="2"/>
      <c r="Q37" s="2"/>
      <c r="R37" s="4"/>
      <c r="S37" s="4"/>
      <c r="T37" s="4"/>
      <c r="U37" s="4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0.25" customHeight="1" outlineLevel="1" x14ac:dyDescent="0.3">
      <c r="A38" s="20"/>
      <c r="B38" s="103"/>
      <c r="C38" s="20"/>
      <c r="D38" s="6"/>
      <c r="E38" s="384"/>
      <c r="F38" s="385"/>
      <c r="G38" s="385"/>
      <c r="H38" s="6"/>
      <c r="I38" s="71"/>
      <c r="J38" s="3"/>
      <c r="K38" s="2"/>
      <c r="L38" s="127"/>
      <c r="M38" s="91"/>
      <c r="N38" s="2"/>
      <c r="O38" s="2"/>
      <c r="P38" s="2"/>
      <c r="Q38" s="2"/>
      <c r="R38" s="4"/>
      <c r="S38" s="4"/>
      <c r="T38" s="4"/>
      <c r="U38" s="4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8.75" customHeight="1" outlineLevel="1" x14ac:dyDescent="0.3">
      <c r="A39" s="20"/>
      <c r="B39" s="128"/>
      <c r="C39" s="129"/>
      <c r="D39" s="6"/>
      <c r="E39" s="384"/>
      <c r="F39" s="385"/>
      <c r="G39" s="385"/>
      <c r="H39" s="130"/>
      <c r="I39" s="131"/>
      <c r="J39" s="6"/>
      <c r="K39" s="132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2"/>
      <c r="Z39" s="2"/>
      <c r="AA39" s="2"/>
      <c r="AB39" s="2"/>
      <c r="AC39" s="2"/>
      <c r="AD39" s="2"/>
      <c r="AE39" s="2"/>
    </row>
    <row r="40" spans="1:31" ht="18.75" customHeight="1" outlineLevel="1" x14ac:dyDescent="0.3">
      <c r="A40" s="20"/>
      <c r="B40" s="128"/>
      <c r="C40" s="129"/>
      <c r="D40" s="6"/>
      <c r="E40" s="384"/>
      <c r="F40" s="385"/>
      <c r="G40" s="385"/>
      <c r="H40" s="130"/>
      <c r="I40" s="131"/>
      <c r="J40" s="6"/>
      <c r="K40" s="13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2"/>
      <c r="Z40" s="2"/>
      <c r="AA40" s="2"/>
      <c r="AB40" s="2"/>
      <c r="AC40" s="2"/>
      <c r="AD40" s="2"/>
      <c r="AE40" s="2"/>
    </row>
    <row r="41" spans="1:31" ht="18.75" customHeight="1" x14ac:dyDescent="0.3">
      <c r="A41" s="20"/>
      <c r="B41" s="128"/>
      <c r="C41" s="129"/>
      <c r="D41" s="6"/>
      <c r="E41" s="6"/>
      <c r="F41" s="6"/>
      <c r="G41" s="6"/>
      <c r="H41" s="130"/>
      <c r="I41" s="131"/>
      <c r="J41" s="6"/>
      <c r="K41" s="13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2"/>
      <c r="Z41" s="2"/>
      <c r="AA41" s="2"/>
      <c r="AB41" s="2"/>
      <c r="AC41" s="2"/>
      <c r="AD41" s="2"/>
      <c r="AE41" s="2"/>
    </row>
    <row r="42" spans="1:31" ht="12" customHeight="1" x14ac:dyDescent="0.3">
      <c r="A42" s="20"/>
      <c r="B42" s="128"/>
      <c r="C42" s="127"/>
      <c r="D42" s="6"/>
      <c r="E42" s="124" t="s">
        <v>71</v>
      </c>
      <c r="F42" s="124" t="s">
        <v>72</v>
      </c>
      <c r="G42" s="124" t="s">
        <v>37</v>
      </c>
      <c r="H42" s="127"/>
      <c r="I42" s="131"/>
      <c r="J42" s="6"/>
      <c r="K42" s="13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2"/>
      <c r="Z42" s="2"/>
      <c r="AA42" s="2"/>
      <c r="AB42" s="2"/>
      <c r="AC42" s="2"/>
      <c r="AD42" s="2"/>
      <c r="AE42" s="2"/>
    </row>
    <row r="43" spans="1:31" ht="18.75" customHeight="1" x14ac:dyDescent="0.3">
      <c r="A43" s="20"/>
      <c r="B43" s="128"/>
      <c r="C43" s="127"/>
      <c r="D43" s="119" t="s">
        <v>74</v>
      </c>
      <c r="E43" s="384"/>
      <c r="F43" s="385"/>
      <c r="G43" s="385">
        <f t="shared" ref="G43:G47" si="6">$F43*$X$14</f>
        <v>0</v>
      </c>
      <c r="H43" s="130"/>
      <c r="I43" s="117">
        <f>SUM(G43:G47)</f>
        <v>0</v>
      </c>
      <c r="J43" s="6"/>
      <c r="K43" s="132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2"/>
      <c r="Z43" s="2"/>
      <c r="AA43" s="2"/>
      <c r="AB43" s="2"/>
      <c r="AC43" s="2"/>
      <c r="AD43" s="2"/>
      <c r="AE43" s="2"/>
    </row>
    <row r="44" spans="1:31" ht="18.75" customHeight="1" outlineLevel="1" x14ac:dyDescent="0.3">
      <c r="A44" s="20"/>
      <c r="B44" s="128"/>
      <c r="C44" s="127"/>
      <c r="D44" s="119"/>
      <c r="E44" s="384"/>
      <c r="F44" s="385"/>
      <c r="G44" s="385">
        <f t="shared" si="6"/>
        <v>0</v>
      </c>
      <c r="H44" s="130"/>
      <c r="I44" s="131"/>
      <c r="J44" s="6"/>
      <c r="K44" s="13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2"/>
      <c r="Z44" s="2"/>
      <c r="AA44" s="2"/>
      <c r="AB44" s="2"/>
      <c r="AC44" s="2"/>
      <c r="AD44" s="2"/>
      <c r="AE44" s="2"/>
    </row>
    <row r="45" spans="1:31" ht="18.75" customHeight="1" outlineLevel="1" x14ac:dyDescent="0.3">
      <c r="A45" s="20"/>
      <c r="B45" s="128"/>
      <c r="C45" s="127"/>
      <c r="D45" s="119"/>
      <c r="E45" s="384"/>
      <c r="F45" s="385"/>
      <c r="G45" s="385">
        <f t="shared" si="6"/>
        <v>0</v>
      </c>
      <c r="H45" s="130"/>
      <c r="I45" s="131"/>
      <c r="J45" s="6"/>
      <c r="K45" s="132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2"/>
      <c r="Z45" s="2"/>
      <c r="AA45" s="2"/>
      <c r="AB45" s="2"/>
      <c r="AC45" s="2"/>
      <c r="AD45" s="2"/>
      <c r="AE45" s="2"/>
    </row>
    <row r="46" spans="1:31" ht="18.75" customHeight="1" outlineLevel="1" x14ac:dyDescent="0.3">
      <c r="A46" s="20"/>
      <c r="B46" s="128"/>
      <c r="C46" s="127"/>
      <c r="D46" s="119"/>
      <c r="E46" s="384"/>
      <c r="F46" s="385"/>
      <c r="G46" s="385">
        <f t="shared" si="6"/>
        <v>0</v>
      </c>
      <c r="H46" s="130"/>
      <c r="I46" s="131"/>
      <c r="J46" s="6"/>
      <c r="K46" s="13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2"/>
      <c r="Z46" s="2"/>
      <c r="AA46" s="2"/>
      <c r="AB46" s="2"/>
      <c r="AC46" s="2"/>
      <c r="AD46" s="2"/>
      <c r="AE46" s="2"/>
    </row>
    <row r="47" spans="1:31" ht="18.75" customHeight="1" outlineLevel="1" x14ac:dyDescent="0.3">
      <c r="A47" s="20"/>
      <c r="B47" s="128"/>
      <c r="C47" s="127"/>
      <c r="D47" s="119"/>
      <c r="E47" s="384"/>
      <c r="F47" s="385"/>
      <c r="G47" s="385">
        <f t="shared" si="6"/>
        <v>0</v>
      </c>
      <c r="H47" s="130"/>
      <c r="I47" s="6"/>
      <c r="J47" s="6"/>
      <c r="K47" s="13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2"/>
      <c r="Z47" s="2"/>
      <c r="AA47" s="2"/>
      <c r="AB47" s="2"/>
      <c r="AC47" s="2"/>
      <c r="AD47" s="2"/>
      <c r="AE47" s="2"/>
    </row>
    <row r="48" spans="1:31" ht="18.75" customHeight="1" x14ac:dyDescent="0.3">
      <c r="A48" s="20"/>
      <c r="B48" s="133"/>
      <c r="C48" s="134"/>
      <c r="D48" s="135"/>
      <c r="E48" s="136"/>
      <c r="F48" s="137"/>
      <c r="G48" s="138"/>
      <c r="H48" s="139"/>
      <c r="I48" s="140"/>
      <c r="J48" s="6"/>
      <c r="K48" s="13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2"/>
      <c r="Z48" s="2"/>
      <c r="AA48" s="2"/>
      <c r="AB48" s="2"/>
      <c r="AC48" s="2"/>
      <c r="AD48" s="2"/>
      <c r="AE48" s="2"/>
    </row>
    <row r="49" spans="1:31" ht="12" customHeight="1" x14ac:dyDescent="0.3">
      <c r="A49" s="20"/>
      <c r="B49" s="141">
        <f>B15+1</f>
        <v>3</v>
      </c>
      <c r="C49" s="142" t="s">
        <v>75</v>
      </c>
      <c r="D49" s="142"/>
      <c r="E49" s="142"/>
      <c r="F49" s="142"/>
      <c r="G49" s="142"/>
      <c r="H49" s="142"/>
      <c r="I49" s="77" t="s">
        <v>37</v>
      </c>
      <c r="J49" s="6"/>
      <c r="K49" s="132"/>
      <c r="L49" s="132"/>
      <c r="M49" s="6"/>
      <c r="N49" s="6"/>
      <c r="O49" s="6"/>
      <c r="P49" s="6"/>
      <c r="Q49" s="2"/>
      <c r="R49" s="4"/>
      <c r="S49" s="4"/>
      <c r="T49" s="4"/>
      <c r="U49" s="4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8.75" customHeight="1" x14ac:dyDescent="0.3">
      <c r="A50" s="20"/>
      <c r="B50" s="103"/>
      <c r="C50" s="5"/>
      <c r="D50" s="5"/>
      <c r="E50" s="5"/>
      <c r="F50" s="122"/>
      <c r="G50" s="143"/>
      <c r="H50" s="143"/>
      <c r="I50" s="144">
        <f>IFERROR(I13-I24-I36-I43-I33,"data missing")</f>
        <v>0</v>
      </c>
      <c r="J50" s="6"/>
      <c r="K50" s="145">
        <f>IFERROR(I13-I24-I36-I43-M34-N34,"data missing")</f>
        <v>0</v>
      </c>
      <c r="L50" s="132"/>
      <c r="M50" s="6"/>
      <c r="N50" s="6"/>
      <c r="O50" s="6"/>
      <c r="P50" s="6"/>
      <c r="Q50" s="2"/>
      <c r="R50" s="6"/>
      <c r="S50" s="6"/>
      <c r="T50" s="6"/>
      <c r="U50" s="6"/>
      <c r="V50" s="6"/>
      <c r="W50" s="6"/>
      <c r="X50" s="6"/>
      <c r="Y50" s="2"/>
      <c r="Z50" s="2"/>
      <c r="AA50" s="2"/>
      <c r="AB50" s="2"/>
      <c r="AC50" s="2"/>
      <c r="AD50" s="2"/>
      <c r="AE50" s="2"/>
    </row>
    <row r="51" spans="1:31" ht="18.75" customHeight="1" x14ac:dyDescent="0.3">
      <c r="A51" s="20"/>
      <c r="B51" s="103"/>
      <c r="C51" s="5"/>
      <c r="D51" s="5"/>
      <c r="E51" s="5"/>
      <c r="F51" s="122"/>
      <c r="G51" s="122"/>
      <c r="H51" s="122"/>
      <c r="I51" s="25"/>
      <c r="J51" s="6"/>
      <c r="K51" s="5"/>
      <c r="L51" s="5"/>
      <c r="M51" s="1"/>
      <c r="N51" s="2"/>
      <c r="O51" s="2"/>
      <c r="P51" s="2"/>
      <c r="Q51" s="2"/>
      <c r="R51" s="4"/>
      <c r="S51" s="4"/>
      <c r="T51" s="2"/>
      <c r="U51" s="4"/>
      <c r="V51" s="4"/>
      <c r="W51" s="4"/>
      <c r="X51" s="2"/>
      <c r="Y51" s="2"/>
      <c r="Z51" s="2"/>
      <c r="AA51" s="2"/>
      <c r="AB51" s="2"/>
      <c r="AC51" s="2"/>
      <c r="AD51" s="2"/>
      <c r="AE51" s="2"/>
    </row>
    <row r="52" spans="1:31" ht="18.75" customHeight="1" x14ac:dyDescent="0.3">
      <c r="A52" s="20"/>
      <c r="B52" s="146">
        <f>B49+1</f>
        <v>4</v>
      </c>
      <c r="C52" s="147" t="s">
        <v>76</v>
      </c>
      <c r="D52" s="147"/>
      <c r="E52" s="147"/>
      <c r="F52" s="148"/>
      <c r="G52" s="147"/>
      <c r="H52" s="147"/>
      <c r="I52" s="149" t="s">
        <v>37</v>
      </c>
      <c r="J52" s="7"/>
      <c r="K52" s="150"/>
      <c r="L52" s="151"/>
      <c r="M52" s="152"/>
      <c r="N52" s="19"/>
      <c r="O52" s="19"/>
      <c r="P52" s="19"/>
      <c r="Q52" s="19"/>
      <c r="R52" s="84"/>
      <c r="S52" s="84"/>
      <c r="T52" s="84"/>
      <c r="U52" s="84"/>
      <c r="V52" s="84"/>
      <c r="W52" s="84"/>
      <c r="X52" s="19"/>
      <c r="Y52" s="19"/>
      <c r="Z52" s="19"/>
      <c r="AA52" s="19"/>
      <c r="AB52" s="19"/>
      <c r="AC52" s="19"/>
      <c r="AD52" s="19"/>
      <c r="AE52" s="19"/>
    </row>
    <row r="53" spans="1:31" ht="18.75" customHeight="1" x14ac:dyDescent="0.3">
      <c r="A53" s="20"/>
      <c r="B53" s="153"/>
      <c r="C53" s="154"/>
      <c r="D53" s="81"/>
      <c r="E53" s="6"/>
      <c r="F53" s="6"/>
      <c r="G53" s="6"/>
      <c r="H53" s="155"/>
      <c r="I53" s="156"/>
      <c r="J53" s="3"/>
      <c r="K53" s="157" t="s">
        <v>77</v>
      </c>
      <c r="L53" s="406" t="s">
        <v>78</v>
      </c>
      <c r="M53" s="407"/>
      <c r="N53" s="2"/>
      <c r="O53" s="2"/>
      <c r="P53" s="2"/>
      <c r="Q53" s="2"/>
      <c r="R53" s="4"/>
      <c r="S53" s="4"/>
      <c r="T53" s="4"/>
      <c r="U53" s="4"/>
      <c r="V53" s="4"/>
      <c r="W53" s="4"/>
      <c r="X53" s="2"/>
      <c r="Y53" s="2"/>
      <c r="Z53" s="2"/>
      <c r="AA53" s="2"/>
      <c r="AB53" s="2"/>
      <c r="AC53" s="2"/>
      <c r="AD53" s="2"/>
      <c r="AE53" s="2"/>
    </row>
    <row r="54" spans="1:31" ht="18.75" customHeight="1" x14ac:dyDescent="0.3">
      <c r="A54" s="20"/>
      <c r="B54" s="158"/>
      <c r="C54" s="159"/>
      <c r="D54" s="63"/>
      <c r="E54" s="47" t="s">
        <v>79</v>
      </c>
      <c r="F54" s="399"/>
      <c r="G54" s="400"/>
      <c r="H54" s="160"/>
      <c r="I54" s="89" t="str">
        <f>IFERROR(IF(O60=3,"***I/O only available on Investment loans up to 75% LVR",""),"")</f>
        <v/>
      </c>
      <c r="J54" s="161"/>
      <c r="K54" s="22"/>
      <c r="L54" s="22"/>
      <c r="M54" s="162"/>
      <c r="N54" s="2"/>
      <c r="O54" s="2"/>
      <c r="P54" s="2"/>
      <c r="Q54" s="4"/>
      <c r="R54" s="4"/>
      <c r="S54" s="4"/>
      <c r="T54" s="4"/>
      <c r="U54" s="4"/>
      <c r="V54" s="4"/>
      <c r="W54" s="4"/>
      <c r="X54" s="2"/>
      <c r="Y54" s="2"/>
      <c r="Z54" s="2"/>
      <c r="AA54" s="2"/>
      <c r="AB54" s="2"/>
      <c r="AC54" s="2"/>
      <c r="AD54" s="2"/>
      <c r="AE54" s="2"/>
    </row>
    <row r="55" spans="1:31" ht="18.75" customHeight="1" x14ac:dyDescent="0.3">
      <c r="A55" s="20"/>
      <c r="B55" s="163"/>
      <c r="C55" s="164"/>
      <c r="D55" s="63"/>
      <c r="E55" s="47" t="s">
        <v>81</v>
      </c>
      <c r="F55" s="401"/>
      <c r="G55" s="394"/>
      <c r="H55" s="165"/>
      <c r="I55" s="166"/>
      <c r="J55" s="167"/>
      <c r="K55" s="168"/>
      <c r="L55" s="169"/>
      <c r="M55" s="170"/>
      <c r="N55" s="171"/>
      <c r="O55" s="171"/>
      <c r="P55" s="171"/>
      <c r="Q55" s="172"/>
      <c r="R55" s="172"/>
      <c r="S55" s="172"/>
      <c r="T55" s="172" t="s">
        <v>82</v>
      </c>
      <c r="U55" s="172"/>
      <c r="V55" s="172"/>
      <c r="W55" s="172"/>
      <c r="X55" s="171"/>
      <c r="Y55" s="171"/>
      <c r="Z55" s="172"/>
      <c r="AA55" s="172"/>
      <c r="AB55" s="171"/>
      <c r="AC55" s="171"/>
      <c r="AD55" s="171"/>
      <c r="AE55" s="171"/>
    </row>
    <row r="56" spans="1:31" ht="18.75" customHeight="1" x14ac:dyDescent="0.3">
      <c r="A56" s="20"/>
      <c r="B56" s="173"/>
      <c r="C56" s="174"/>
      <c r="D56" s="175"/>
      <c r="E56" s="176" t="s">
        <v>83</v>
      </c>
      <c r="F56" s="402"/>
      <c r="G56" s="403"/>
      <c r="H56" s="165"/>
      <c r="I56" s="177"/>
      <c r="J56" s="7"/>
      <c r="K56" s="5"/>
      <c r="L56" s="5"/>
      <c r="M56" s="1"/>
      <c r="N56" s="2"/>
      <c r="O56" s="2"/>
      <c r="P56" s="2"/>
      <c r="Q56" s="178" t="s">
        <v>78</v>
      </c>
      <c r="R56" s="179">
        <v>2.5000000000000001E-2</v>
      </c>
      <c r="S56" s="4"/>
      <c r="T56" s="4"/>
      <c r="U56" s="4"/>
      <c r="V56" s="4"/>
      <c r="W56" s="4"/>
      <c r="X56" s="2"/>
      <c r="Y56" s="180"/>
      <c r="Z56" s="180"/>
      <c r="AA56" s="2"/>
      <c r="AB56" s="2"/>
      <c r="AC56" s="2"/>
      <c r="AD56" s="2"/>
      <c r="AE56" s="2"/>
    </row>
    <row r="57" spans="1:31" ht="18.75" customHeight="1" x14ac:dyDescent="0.3">
      <c r="A57" s="20"/>
      <c r="B57" s="158"/>
      <c r="C57" s="159"/>
      <c r="D57" s="63"/>
      <c r="E57" s="47" t="s">
        <v>84</v>
      </c>
      <c r="F57" s="402"/>
      <c r="G57" s="403"/>
      <c r="H57" s="165"/>
      <c r="I57" s="177"/>
      <c r="J57" s="7"/>
      <c r="K57" s="5"/>
      <c r="L57" s="5"/>
      <c r="M57" s="1"/>
      <c r="N57" s="2"/>
      <c r="O57" s="181" t="str">
        <f>IF(F54="Interest Only",1,"")</f>
        <v/>
      </c>
      <c r="P57" s="2"/>
      <c r="Q57" s="178" t="s">
        <v>85</v>
      </c>
      <c r="R57" s="179">
        <v>2.5000000000000001E-2</v>
      </c>
      <c r="S57" s="4"/>
      <c r="T57" s="4"/>
      <c r="U57" s="4"/>
      <c r="V57" s="4"/>
      <c r="W57" s="4"/>
      <c r="X57" s="2"/>
      <c r="Y57" s="180"/>
      <c r="Z57" s="180"/>
      <c r="AA57" s="2"/>
      <c r="AB57" s="2"/>
      <c r="AC57" s="2"/>
      <c r="AD57" s="2"/>
      <c r="AE57" s="2"/>
    </row>
    <row r="58" spans="1:31" ht="18.75" customHeight="1" x14ac:dyDescent="0.3">
      <c r="A58" s="20"/>
      <c r="B58" s="158"/>
      <c r="C58" s="159"/>
      <c r="D58" s="63"/>
      <c r="E58" s="47" t="s">
        <v>86</v>
      </c>
      <c r="F58" s="402"/>
      <c r="G58" s="403"/>
      <c r="H58" s="182" t="s">
        <v>87</v>
      </c>
      <c r="I58" s="183" t="e">
        <f>F58/F57</f>
        <v>#DIV/0!</v>
      </c>
      <c r="J58" s="7"/>
      <c r="K58" s="1"/>
      <c r="L58" s="5"/>
      <c r="M58" s="1"/>
      <c r="N58" s="2"/>
      <c r="O58" s="181" t="e">
        <f>IF((I58*100)&gt;75,"1","")</f>
        <v>#DIV/0!</v>
      </c>
      <c r="P58" s="2"/>
      <c r="Q58" s="178" t="s">
        <v>88</v>
      </c>
      <c r="R58" s="179">
        <v>2.5000000000000001E-2</v>
      </c>
      <c r="S58" s="4"/>
      <c r="T58" s="4"/>
      <c r="U58" s="4"/>
      <c r="V58" s="4"/>
      <c r="W58" s="4"/>
      <c r="X58" s="2"/>
      <c r="Y58" s="180"/>
      <c r="Z58" s="180"/>
      <c r="AA58" s="2"/>
      <c r="AB58" s="2"/>
      <c r="AC58" s="2"/>
      <c r="AD58" s="2"/>
      <c r="AE58" s="2"/>
    </row>
    <row r="59" spans="1:31" ht="18.75" customHeight="1" x14ac:dyDescent="0.3">
      <c r="A59" s="20"/>
      <c r="B59" s="158"/>
      <c r="C59" s="159"/>
      <c r="D59" s="63"/>
      <c r="E59" s="63"/>
      <c r="F59" s="184"/>
      <c r="G59" s="185"/>
      <c r="H59" s="186"/>
      <c r="I59" s="187"/>
      <c r="J59" s="7"/>
      <c r="K59" s="5"/>
      <c r="L59" s="188" t="str">
        <f>IF(F60*$X$8=0,"",F60*$X$8)</f>
        <v/>
      </c>
      <c r="M59" s="1"/>
      <c r="N59" s="2"/>
      <c r="O59" s="181" t="str">
        <f>IF(F56="Investment",1,"")</f>
        <v/>
      </c>
      <c r="P59" s="2"/>
      <c r="Q59" s="178"/>
      <c r="R59" s="179"/>
      <c r="S59" s="4"/>
      <c r="T59" s="4"/>
      <c r="U59" s="4"/>
      <c r="V59" s="4"/>
      <c r="W59" s="4"/>
      <c r="X59" s="2"/>
      <c r="Y59" s="180"/>
      <c r="Z59" s="180"/>
      <c r="AA59" s="2"/>
      <c r="AB59" s="2"/>
      <c r="AC59" s="2"/>
      <c r="AD59" s="2"/>
      <c r="AE59" s="2"/>
    </row>
    <row r="60" spans="1:31" ht="18.75" customHeight="1" x14ac:dyDescent="0.3">
      <c r="A60" s="20"/>
      <c r="B60" s="158"/>
      <c r="C60" s="159"/>
      <c r="D60" s="63"/>
      <c r="E60" s="47" t="s">
        <v>89</v>
      </c>
      <c r="F60" s="408"/>
      <c r="G60" s="400"/>
      <c r="H60" s="189"/>
      <c r="I60" s="71"/>
      <c r="J60" s="7"/>
      <c r="K60" s="5"/>
      <c r="L60" s="190" t="str">
        <f>IF(F61/$X$8=0,"",F61/$X$8)</f>
        <v/>
      </c>
      <c r="M60" s="1"/>
      <c r="N60" s="2"/>
      <c r="O60" s="191" t="e">
        <f>O57+O58+O59</f>
        <v>#VALUE!</v>
      </c>
      <c r="P60" s="2"/>
      <c r="Q60" s="178" t="s">
        <v>90</v>
      </c>
      <c r="R60" s="179">
        <v>2.5000000000000001E-2</v>
      </c>
      <c r="S60" s="4"/>
      <c r="T60" s="4"/>
      <c r="U60" s="4"/>
      <c r="V60" s="4"/>
      <c r="W60" s="4"/>
      <c r="X60" s="2"/>
      <c r="Y60" s="180"/>
      <c r="Z60" s="180"/>
      <c r="AA60" s="2"/>
      <c r="AB60" s="2"/>
      <c r="AC60" s="2"/>
      <c r="AD60" s="2"/>
      <c r="AE60" s="2"/>
    </row>
    <row r="61" spans="1:31" ht="18.75" customHeight="1" x14ac:dyDescent="0.3">
      <c r="A61" s="20"/>
      <c r="B61" s="158"/>
      <c r="C61" s="159"/>
      <c r="D61" s="63"/>
      <c r="E61" s="47" t="s">
        <v>91</v>
      </c>
      <c r="F61" s="393"/>
      <c r="G61" s="394"/>
      <c r="H61" s="189"/>
      <c r="I61" s="71"/>
      <c r="J61" s="7"/>
      <c r="K61" s="192"/>
      <c r="L61" s="5"/>
      <c r="M61" s="1"/>
      <c r="N61" s="2"/>
      <c r="O61" s="2"/>
      <c r="P61" s="2"/>
      <c r="Q61" s="178" t="s">
        <v>92</v>
      </c>
      <c r="R61" s="179">
        <v>2.5000000000000001E-2</v>
      </c>
      <c r="S61" s="4"/>
      <c r="T61" s="4"/>
      <c r="U61" s="4"/>
      <c r="V61" s="4"/>
      <c r="W61" s="4"/>
      <c r="X61" s="2"/>
      <c r="Y61" s="180"/>
      <c r="Z61" s="180"/>
      <c r="AA61" s="2"/>
      <c r="AB61" s="2"/>
      <c r="AC61" s="2"/>
      <c r="AD61" s="2"/>
      <c r="AE61" s="2"/>
    </row>
    <row r="62" spans="1:31" ht="18.75" customHeight="1" x14ac:dyDescent="0.3">
      <c r="A62" s="20"/>
      <c r="B62" s="158"/>
      <c r="C62" s="159"/>
      <c r="D62" s="63"/>
      <c r="E62" s="159"/>
      <c r="F62" s="193"/>
      <c r="G62" s="193"/>
      <c r="H62" s="47" t="s">
        <v>93</v>
      </c>
      <c r="I62" s="194">
        <v>1</v>
      </c>
      <c r="J62" s="195"/>
      <c r="K62" s="127"/>
      <c r="L62" s="6"/>
      <c r="M62" s="1"/>
      <c r="N62" s="2"/>
      <c r="O62" s="2"/>
      <c r="P62" s="2"/>
      <c r="Q62" s="178" t="s">
        <v>94</v>
      </c>
      <c r="R62" s="179">
        <v>2.5000000000000001E-2</v>
      </c>
      <c r="S62" s="4"/>
      <c r="T62" s="4"/>
      <c r="U62" s="4"/>
      <c r="V62" s="4"/>
      <c r="W62" s="4"/>
      <c r="X62" s="2"/>
      <c r="Y62" s="180"/>
      <c r="Z62" s="180"/>
      <c r="AA62" s="2"/>
      <c r="AB62" s="2"/>
      <c r="AC62" s="2"/>
      <c r="AD62" s="2"/>
      <c r="AE62" s="2"/>
    </row>
    <row r="63" spans="1:31" ht="18.75" customHeight="1" x14ac:dyDescent="0.3">
      <c r="A63" s="20"/>
      <c r="B63" s="158"/>
      <c r="C63" s="159"/>
      <c r="D63" s="63"/>
      <c r="E63" s="164"/>
      <c r="F63" s="186"/>
      <c r="G63" s="196"/>
      <c r="H63" s="63" t="s">
        <v>95</v>
      </c>
      <c r="I63" s="115">
        <f>L65*I62</f>
        <v>10</v>
      </c>
      <c r="J63" s="197"/>
      <c r="K63" s="6"/>
      <c r="L63" s="6"/>
      <c r="M63" s="198"/>
      <c r="N63" s="199" t="s">
        <v>96</v>
      </c>
      <c r="O63" s="2"/>
      <c r="P63" s="2"/>
      <c r="Q63" s="178" t="s">
        <v>97</v>
      </c>
      <c r="R63" s="179">
        <v>5.7500000000000002E-2</v>
      </c>
      <c r="S63" s="4"/>
      <c r="T63" s="4"/>
      <c r="U63" s="4"/>
      <c r="V63" s="4"/>
      <c r="W63" s="4"/>
      <c r="X63" s="2"/>
      <c r="Y63" s="2"/>
      <c r="Z63" s="2"/>
      <c r="AA63" s="2"/>
      <c r="AB63" s="2"/>
      <c r="AC63" s="2"/>
      <c r="AD63" s="2"/>
      <c r="AE63" s="2"/>
    </row>
    <row r="64" spans="1:31" ht="18.75" customHeight="1" x14ac:dyDescent="0.3">
      <c r="A64" s="20"/>
      <c r="B64" s="158"/>
      <c r="C64" s="159"/>
      <c r="D64" s="63"/>
      <c r="E64" s="164"/>
      <c r="F64" s="200"/>
      <c r="G64" s="201"/>
      <c r="H64" s="63" t="s">
        <v>98</v>
      </c>
      <c r="I64" s="101" t="str">
        <f>IFERROR(IF(OR(ISTEXT($L$60),ISTEXT($L$59)),"",PMT($L$60,$L$59-IF($F$54="Principal and Interest",0,$F$55*$X$8),-$F$58))+I63,"Please enter I/O term")</f>
        <v>Please enter I/O term</v>
      </c>
      <c r="J64" s="202"/>
      <c r="K64" s="203" t="s">
        <v>99</v>
      </c>
      <c r="L64" s="204">
        <v>8.8400000000000006E-2</v>
      </c>
      <c r="M64" s="46"/>
      <c r="N64" s="205">
        <v>1</v>
      </c>
      <c r="O64" s="2"/>
      <c r="P64" s="2"/>
      <c r="Q64" s="4"/>
      <c r="R64" s="4"/>
      <c r="S64" s="4"/>
      <c r="T64" s="4"/>
      <c r="U64" s="4"/>
      <c r="V64" s="4"/>
      <c r="W64" s="4"/>
      <c r="X64" s="2"/>
      <c r="Y64" s="2"/>
      <c r="Z64" s="2"/>
      <c r="AA64" s="2"/>
      <c r="AB64" s="2"/>
      <c r="AC64" s="2"/>
      <c r="AD64" s="2"/>
      <c r="AE64" s="2"/>
    </row>
    <row r="65" spans="1:31" ht="18.75" customHeight="1" x14ac:dyDescent="0.3">
      <c r="A65" s="20"/>
      <c r="B65" s="206"/>
      <c r="C65" s="207"/>
      <c r="D65" s="207"/>
      <c r="E65" s="207"/>
      <c r="F65" s="134"/>
      <c r="G65" s="134"/>
      <c r="H65" s="134"/>
      <c r="I65" s="208"/>
      <c r="J65" s="209"/>
      <c r="K65" s="203" t="s">
        <v>95</v>
      </c>
      <c r="L65" s="210">
        <v>10</v>
      </c>
      <c r="M65" s="46"/>
      <c r="N65" s="205">
        <v>2</v>
      </c>
      <c r="O65" s="2"/>
      <c r="P65" s="2"/>
      <c r="Q65" s="4"/>
      <c r="R65" s="4"/>
      <c r="S65" s="4"/>
      <c r="T65" s="4"/>
      <c r="U65" s="4"/>
      <c r="V65" s="4"/>
      <c r="W65" s="4"/>
      <c r="X65" s="2"/>
      <c r="Y65" s="2"/>
      <c r="Z65" s="2"/>
      <c r="AA65" s="2"/>
      <c r="AB65" s="2"/>
      <c r="AC65" s="2"/>
      <c r="AD65" s="2"/>
      <c r="AE65" s="2"/>
    </row>
    <row r="66" spans="1:31" ht="18.75" customHeight="1" x14ac:dyDescent="0.3">
      <c r="A66" s="20"/>
      <c r="B66" s="141">
        <f>B52+1</f>
        <v>5</v>
      </c>
      <c r="C66" s="142" t="s">
        <v>100</v>
      </c>
      <c r="D66" s="142"/>
      <c r="E66" s="142"/>
      <c r="F66" s="142"/>
      <c r="G66" s="211"/>
      <c r="H66" s="211" t="s">
        <v>101</v>
      </c>
      <c r="I66" s="77" t="s">
        <v>37</v>
      </c>
      <c r="J66" s="26"/>
      <c r="K66" s="212"/>
      <c r="L66" s="5"/>
      <c r="M66" s="46"/>
      <c r="N66" s="205">
        <v>3</v>
      </c>
      <c r="O66" s="2"/>
      <c r="P66" s="2"/>
      <c r="Q66" s="4"/>
      <c r="R66" s="4"/>
      <c r="S66" s="4"/>
      <c r="T66" s="4"/>
      <c r="U66" s="4"/>
      <c r="V66" s="4"/>
      <c r="W66" s="4"/>
      <c r="X66" s="2"/>
      <c r="Y66" s="2"/>
      <c r="Z66" s="2"/>
      <c r="AA66" s="2"/>
      <c r="AB66" s="2"/>
      <c r="AC66" s="2"/>
      <c r="AD66" s="2"/>
      <c r="AE66" s="2"/>
    </row>
    <row r="67" spans="1:31" ht="18.75" customHeight="1" x14ac:dyDescent="0.3">
      <c r="A67" s="20"/>
      <c r="B67" s="213"/>
      <c r="C67" s="5"/>
      <c r="D67" s="63" t="s">
        <v>102</v>
      </c>
      <c r="E67" s="5"/>
      <c r="F67" s="20"/>
      <c r="G67" s="196"/>
      <c r="H67" s="214" t="str">
        <f ca="1">IFERROR(IF(F61=0,"",IF(F54="Interest Only",MAX($R$63,F61+R56),MAX($R$63,F61+OFFSET($R$55,MATCH(L53,$Q$56:$Q$63,0),)))),"")</f>
        <v/>
      </c>
      <c r="I67" s="183" t="str">
        <f ca="1">IFERROR(H67/$X$8,"")</f>
        <v/>
      </c>
      <c r="J67" s="26"/>
      <c r="K67" s="215"/>
      <c r="L67" s="5"/>
      <c r="M67" s="46"/>
      <c r="N67" s="205">
        <v>4</v>
      </c>
      <c r="O67" s="2"/>
      <c r="P67" s="2"/>
      <c r="Q67" s="4"/>
      <c r="R67" s="4"/>
      <c r="S67" s="4"/>
      <c r="T67" s="4"/>
      <c r="U67" s="4"/>
      <c r="V67" s="4"/>
      <c r="W67" s="4"/>
      <c r="X67" s="2"/>
      <c r="Y67" s="2"/>
      <c r="Z67" s="2"/>
      <c r="AA67" s="2"/>
      <c r="AB67" s="2"/>
      <c r="AC67" s="2"/>
      <c r="AD67" s="2"/>
      <c r="AE67" s="2"/>
    </row>
    <row r="68" spans="1:31" ht="18.75" customHeight="1" x14ac:dyDescent="0.3">
      <c r="A68" s="20"/>
      <c r="B68" s="213"/>
      <c r="C68" s="5"/>
      <c r="D68" s="63" t="s">
        <v>103</v>
      </c>
      <c r="E68" s="1"/>
      <c r="F68" s="1"/>
      <c r="G68" s="196"/>
      <c r="H68" s="193"/>
      <c r="I68" s="216"/>
      <c r="J68" s="198"/>
      <c r="K68" s="217"/>
      <c r="L68" s="5"/>
      <c r="M68" s="1"/>
      <c r="N68" s="2"/>
      <c r="O68" s="2"/>
      <c r="P68" s="2"/>
      <c r="Q68" s="2"/>
      <c r="R68" s="4"/>
      <c r="S68" s="4"/>
      <c r="T68" s="4"/>
      <c r="U68" s="4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8.75" customHeight="1" x14ac:dyDescent="0.3">
      <c r="A69" s="20"/>
      <c r="B69" s="213"/>
      <c r="C69" s="5"/>
      <c r="D69" s="63" t="s">
        <v>104</v>
      </c>
      <c r="E69" s="5"/>
      <c r="F69" s="5"/>
      <c r="G69" s="196"/>
      <c r="H69" s="196"/>
      <c r="I69" s="218" t="e">
        <f>IF(OR(ISTEXT($L$60),ISTEXT($L$59)),"",PMT($L$60,$L$59-IF($F$54="Principal and Interest",0,$F$55*$X$8),-$F$58))-K70</f>
        <v>#VALUE!</v>
      </c>
      <c r="J69" s="62"/>
      <c r="K69" s="219"/>
      <c r="L69" s="5"/>
      <c r="M69" s="1"/>
      <c r="N69" s="2"/>
      <c r="O69" s="2"/>
      <c r="P69" s="2"/>
      <c r="Q69" s="2"/>
      <c r="R69" s="4"/>
      <c r="S69" s="4"/>
      <c r="T69" s="4"/>
      <c r="U69" s="4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8.75" customHeight="1" x14ac:dyDescent="0.3">
      <c r="A70" s="20"/>
      <c r="B70" s="213"/>
      <c r="C70" s="5"/>
      <c r="D70" s="63" t="s">
        <v>105</v>
      </c>
      <c r="E70" s="5"/>
      <c r="F70" s="5"/>
      <c r="G70" s="196"/>
      <c r="H70" s="196"/>
      <c r="I70" s="144" t="str">
        <f>IF(OR(ISTEXT($L$60),ISTEXT($L$59)),"",PMT($I$67,$L$59-IF($F$54="Principal and Interest",0,$F$55*$X$8),-$F$58))</f>
        <v/>
      </c>
      <c r="J70" s="62"/>
      <c r="K70" s="220"/>
      <c r="L70" s="5"/>
      <c r="M70" s="1"/>
      <c r="N70" s="2"/>
      <c r="O70" s="2"/>
      <c r="P70" s="2"/>
      <c r="Q70" s="2"/>
      <c r="R70" s="4"/>
      <c r="S70" s="4"/>
      <c r="T70" s="4"/>
      <c r="U70" s="4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8.75" customHeight="1" x14ac:dyDescent="0.3">
      <c r="A71" s="20"/>
      <c r="B71" s="213"/>
      <c r="C71" s="5"/>
      <c r="D71" s="63"/>
      <c r="E71" s="5"/>
      <c r="F71" s="5"/>
      <c r="G71" s="186"/>
      <c r="H71" s="186"/>
      <c r="I71" s="221"/>
      <c r="J71" s="7"/>
      <c r="K71" s="222" t="s">
        <v>106</v>
      </c>
      <c r="L71" s="5"/>
      <c r="M71" s="1"/>
      <c r="N71" s="2"/>
      <c r="O71" s="2"/>
      <c r="P71" s="2"/>
      <c r="Q71" s="2"/>
      <c r="R71" s="4"/>
      <c r="S71" s="4"/>
      <c r="T71" s="4"/>
      <c r="U71" s="4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8.75" hidden="1" customHeight="1" x14ac:dyDescent="0.3">
      <c r="A72" s="20"/>
      <c r="B72" s="213"/>
      <c r="C72" s="5"/>
      <c r="D72" s="63" t="s">
        <v>107</v>
      </c>
      <c r="E72" s="5"/>
      <c r="F72" s="223"/>
      <c r="G72" s="224"/>
      <c r="H72" s="224" t="str">
        <f t="shared" ref="H72:H73" si="7">IFERROR(I$50/I69,"")</f>
        <v/>
      </c>
      <c r="I72" s="225" t="e">
        <f>IF(AND(F56="Investment",I58&gt;75%),IF(OR(ISTEXT($L$60),ISTEXT($L$59)),"loan data missing",I$50-I69)-I63-500,IF(OR(ISTEXT($L$60),ISTEXT($L$59)),"loan data missing",I$50-I69)-I63)</f>
        <v>#DIV/0!</v>
      </c>
      <c r="J72" s="7"/>
      <c r="K72" s="5"/>
      <c r="L72" s="5"/>
      <c r="M72" s="1"/>
      <c r="N72" s="2"/>
      <c r="O72" s="2"/>
      <c r="P72" s="2"/>
      <c r="Q72" s="2"/>
      <c r="R72" s="4"/>
      <c r="S72" s="4"/>
      <c r="T72" s="4"/>
      <c r="U72" s="4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8.75" customHeight="1" x14ac:dyDescent="0.3">
      <c r="A73" s="20"/>
      <c r="B73" s="213"/>
      <c r="C73" s="5"/>
      <c r="D73" s="63" t="s">
        <v>108</v>
      </c>
      <c r="E73" s="5"/>
      <c r="F73" s="223"/>
      <c r="G73" s="224"/>
      <c r="H73" s="224" t="str">
        <f t="shared" si="7"/>
        <v/>
      </c>
      <c r="I73" s="225" t="e">
        <f>IF(AND(F900="Investment",I58&gt;75%),IF(OR(ISTEXT($L$60),ISTEXT($L$59)),"loan data missing",I$50-I70)-I63-500,IF(OR(ISTEXT($L$60),ISTEXT($L$59)),"loan data missing",I$50-I70)-I63)</f>
        <v>#DIV/0!</v>
      </c>
      <c r="J73" s="7"/>
      <c r="K73" s="226" t="str">
        <f t="shared" ref="K73:K74" si="8">IF(OR(ISTEXT($L$60),ISTEXT($L$59)),"loan data missing",K$50-I69)</f>
        <v>loan data missing</v>
      </c>
      <c r="L73" s="5"/>
      <c r="M73" s="1"/>
      <c r="N73" s="2"/>
      <c r="O73" s="2"/>
      <c r="P73" s="2"/>
      <c r="Q73" s="2"/>
      <c r="R73" s="2"/>
      <c r="S73" s="2"/>
      <c r="T73" s="2"/>
      <c r="U73" s="4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8.75" customHeight="1" x14ac:dyDescent="0.3">
      <c r="A74" s="20"/>
      <c r="B74" s="227"/>
      <c r="C74" s="228"/>
      <c r="D74" s="229" t="s">
        <v>109</v>
      </c>
      <c r="E74" s="134"/>
      <c r="F74" s="134"/>
      <c r="G74" s="134"/>
      <c r="H74" s="230"/>
      <c r="I74" s="231" t="e">
        <f>IF(AND(I72&gt;0,I73&gt;0)=TRUE,"PASS","FAIL")</f>
        <v>#DIV/0!</v>
      </c>
      <c r="J74" s="7"/>
      <c r="K74" s="226" t="str">
        <f t="shared" si="8"/>
        <v>loan data missing</v>
      </c>
      <c r="L74" s="5"/>
      <c r="M74" s="1"/>
      <c r="N74" s="232"/>
      <c r="O74" s="2"/>
      <c r="P74" s="2"/>
      <c r="Q74" s="2"/>
      <c r="R74" s="2"/>
      <c r="S74" s="2"/>
      <c r="T74" s="2"/>
      <c r="U74" s="4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8.75" customHeight="1" x14ac:dyDescent="0.3">
      <c r="A75" s="20"/>
      <c r="B75" s="162"/>
      <c r="C75" s="162"/>
      <c r="D75" s="162"/>
      <c r="E75" s="22"/>
      <c r="F75" s="22"/>
      <c r="G75" s="22"/>
      <c r="H75" s="22"/>
      <c r="I75" s="22"/>
      <c r="J75" s="7"/>
      <c r="K75" s="5"/>
      <c r="L75" s="5"/>
      <c r="M75" s="1"/>
      <c r="N75" s="232"/>
      <c r="O75" s="2"/>
      <c r="P75" s="2"/>
      <c r="Q75" s="2"/>
      <c r="R75" s="2"/>
      <c r="S75" s="2"/>
      <c r="T75" s="2"/>
      <c r="U75" s="4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8.75" customHeight="1" x14ac:dyDescent="0.3">
      <c r="A76" s="20"/>
      <c r="B76" s="233" t="str">
        <f>"Version "&amp;TEXT(MAX('Version History'!A:A),"0.0")&amp;TEXT(MAX('Version History'!$C:$C)," mmm yyyy")</f>
        <v>Version 2.2 Oct 2023</v>
      </c>
      <c r="C76" s="164"/>
      <c r="D76" s="2"/>
      <c r="E76" s="164"/>
      <c r="F76" s="2"/>
      <c r="G76" s="3"/>
      <c r="H76" s="1"/>
      <c r="I76" s="1"/>
      <c r="J76" s="234"/>
      <c r="K76" s="5"/>
      <c r="L76" s="5"/>
      <c r="M76" s="1"/>
      <c r="N76" s="2"/>
      <c r="O76" s="2"/>
      <c r="P76" s="2"/>
      <c r="Q76" s="2"/>
      <c r="R76" s="2"/>
      <c r="S76" s="2"/>
      <c r="T76" s="2"/>
      <c r="U76" s="4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8.75" customHeight="1" x14ac:dyDescent="0.3">
      <c r="A77" s="20"/>
      <c r="B77" s="2"/>
      <c r="C77" s="2"/>
      <c r="D77" s="2"/>
      <c r="E77" s="2"/>
      <c r="F77" s="2"/>
      <c r="G77" s="3"/>
      <c r="H77" s="1"/>
      <c r="I77" s="2"/>
      <c r="J77" s="234"/>
      <c r="K77" s="1"/>
      <c r="L77" s="1"/>
      <c r="M77" s="1"/>
      <c r="N77" s="1"/>
      <c r="O77" s="2"/>
      <c r="P77" s="2"/>
      <c r="Q77" s="2"/>
      <c r="R77" s="4"/>
      <c r="S77" s="4"/>
      <c r="T77" s="4"/>
      <c r="U77" s="4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8.75" customHeight="1" x14ac:dyDescent="0.3">
      <c r="A78" s="20"/>
      <c r="B78" s="6"/>
      <c r="C78" s="6"/>
      <c r="D78" s="6"/>
      <c r="E78" s="6"/>
      <c r="F78" s="6"/>
      <c r="G78" s="6"/>
      <c r="H78" s="6"/>
      <c r="I78" s="6"/>
      <c r="J78" s="235"/>
      <c r="K78" s="2"/>
      <c r="L78" s="1"/>
      <c r="M78" s="1"/>
      <c r="N78" s="1"/>
      <c r="O78" s="2"/>
      <c r="P78" s="2"/>
      <c r="Q78" s="2"/>
      <c r="R78" s="4"/>
      <c r="S78" s="4"/>
      <c r="T78" s="4"/>
      <c r="U78" s="4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8.75" customHeight="1" x14ac:dyDescent="0.3">
      <c r="A79" s="20"/>
      <c r="B79" s="6"/>
      <c r="C79" s="6"/>
      <c r="D79" s="6"/>
      <c r="E79" s="6"/>
      <c r="F79" s="6"/>
      <c r="G79" s="6"/>
      <c r="H79" s="6"/>
      <c r="I79" s="6"/>
      <c r="J79" s="23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8.75" customHeight="1" x14ac:dyDescent="0.3">
      <c r="A80" s="20"/>
      <c r="B80" s="6"/>
      <c r="C80" s="6"/>
      <c r="D80" s="6"/>
      <c r="E80" s="6"/>
      <c r="F80" s="6"/>
      <c r="G80" s="6"/>
      <c r="H80" s="6"/>
      <c r="I80" s="6"/>
      <c r="J80" s="23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20.25" customHeight="1" x14ac:dyDescent="0.3">
      <c r="A81" s="9"/>
      <c r="B81" s="6"/>
      <c r="C81" s="6"/>
      <c r="D81" s="6"/>
      <c r="E81" s="6"/>
      <c r="F81" s="6"/>
      <c r="G81" s="6"/>
      <c r="H81" s="6"/>
      <c r="I81" s="6"/>
      <c r="J81" s="12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ht="19.5" customHeight="1" x14ac:dyDescent="0.3">
      <c r="A82" s="20"/>
      <c r="B82" s="6"/>
      <c r="C82" s="6"/>
      <c r="D82" s="6"/>
      <c r="E82" s="6"/>
      <c r="F82" s="6"/>
      <c r="G82" s="6"/>
      <c r="H82" s="6"/>
      <c r="I82" s="6"/>
      <c r="J82" s="12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ht="19.5" hidden="1" customHeight="1" x14ac:dyDescent="0.3">
      <c r="A83" s="20"/>
      <c r="B83" s="6"/>
      <c r="C83" s="6"/>
      <c r="D83" s="6"/>
      <c r="E83" s="6"/>
      <c r="F83" s="6"/>
      <c r="G83" s="6"/>
      <c r="H83" s="6"/>
      <c r="I83" s="6"/>
      <c r="J83" s="12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ht="20.25" customHeight="1" x14ac:dyDescent="0.3">
      <c r="A84" s="237"/>
      <c r="B84" s="6"/>
      <c r="C84" s="6"/>
      <c r="D84" s="6"/>
      <c r="E84" s="6"/>
      <c r="F84" s="6"/>
      <c r="G84" s="6"/>
      <c r="H84" s="6"/>
      <c r="I84" s="6"/>
      <c r="J84" s="12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ht="18.75" customHeight="1" x14ac:dyDescent="0.3">
      <c r="A85" s="238"/>
      <c r="B85" s="6"/>
      <c r="C85" s="6"/>
      <c r="D85" s="6"/>
      <c r="E85" s="6"/>
      <c r="F85" s="6"/>
      <c r="G85" s="6"/>
      <c r="H85" s="6"/>
      <c r="I85" s="6"/>
      <c r="J85" s="12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ht="18.75" customHeight="1" x14ac:dyDescent="0.3">
      <c r="A86" s="238"/>
      <c r="B86" s="6"/>
      <c r="C86" s="6"/>
      <c r="D86" s="6"/>
      <c r="E86" s="6"/>
      <c r="F86" s="6"/>
      <c r="G86" s="6"/>
      <c r="H86" s="6"/>
      <c r="I86" s="6"/>
      <c r="J86" s="12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ht="18.75" customHeight="1" x14ac:dyDescent="0.3">
      <c r="A87" s="238"/>
      <c r="B87" s="6"/>
      <c r="C87" s="6"/>
      <c r="D87" s="6"/>
      <c r="E87" s="6"/>
      <c r="F87" s="6"/>
      <c r="G87" s="6"/>
      <c r="H87" s="6"/>
      <c r="I87" s="6"/>
      <c r="J87" s="125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ht="18.75" customHeight="1" x14ac:dyDescent="0.3">
      <c r="A88" s="238"/>
      <c r="B88" s="6"/>
      <c r="C88" s="6"/>
      <c r="D88" s="6"/>
      <c r="E88" s="6"/>
      <c r="F88" s="6"/>
      <c r="G88" s="6"/>
      <c r="H88" s="6"/>
      <c r="I88" s="6"/>
      <c r="J88" s="12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8.75" customHeight="1" x14ac:dyDescent="0.3">
      <c r="A89" s="23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ht="12" customHeight="1" x14ac:dyDescent="0.3">
      <c r="A90" s="23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8.75" customHeight="1" x14ac:dyDescent="0.3">
      <c r="A91" s="23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8.75" customHeight="1" x14ac:dyDescent="0.3">
      <c r="A92" s="23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8.75" customHeight="1" x14ac:dyDescent="0.3">
      <c r="A93" s="23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8.75" customHeight="1" x14ac:dyDescent="0.3">
      <c r="A94" s="23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8.75" customHeight="1" x14ac:dyDescent="0.3">
      <c r="A95" s="23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8.25" customHeight="1" x14ac:dyDescent="0.3">
      <c r="A96" s="23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20.25" customHeight="1" x14ac:dyDescent="0.3">
      <c r="A97" s="23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19.5" customHeight="1" x14ac:dyDescent="0.3">
      <c r="A98" s="2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19.5" customHeight="1" x14ac:dyDescent="0.3">
      <c r="A99" s="2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9.5" customHeight="1" x14ac:dyDescent="0.3">
      <c r="A100" s="2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9.5" customHeight="1" x14ac:dyDescent="0.3">
      <c r="A101" s="2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9.5" customHeight="1" x14ac:dyDescent="0.3">
      <c r="A102" s="2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ht="19.5" customHeight="1" x14ac:dyDescent="0.3">
      <c r="A103" s="2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ht="19.5" customHeight="1" x14ac:dyDescent="0.3">
      <c r="A104" s="2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9.5" customHeight="1" x14ac:dyDescent="0.3">
      <c r="A105" s="2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1.25" customHeight="1" x14ac:dyDescent="0.3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1.25" customHeight="1" x14ac:dyDescent="0.3">
      <c r="A107" s="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1.25" customHeight="1" x14ac:dyDescent="0.3">
      <c r="A108" s="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1.25" customHeight="1" x14ac:dyDescent="0.3">
      <c r="A109" s="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5.7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ht="15.7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.7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.7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.7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.7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.7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ht="15.7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ht="15.7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.7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.7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.7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.7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.7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15.7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15.7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.7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.7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.7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.7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.7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ht="15.7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ht="15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.7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.7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.7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.7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.7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spans="1:31" ht="15.7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spans="1:31" ht="15.7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.7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.7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.7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.7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.7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spans="1:31" ht="15.7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ht="15.7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.7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.7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.7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.7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.7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15.7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15.7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spans="1:31" ht="15.7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ht="15.7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spans="1:31" ht="15.7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spans="1:31" ht="15.7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spans="1:31" ht="15.7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spans="1:31" ht="15.7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spans="1:31" ht="15.7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spans="1:31" ht="15.7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spans="1:31" ht="15.7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spans="1:31" ht="15.7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spans="1:31" ht="15.7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spans="1:31" ht="15.7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spans="1:31" ht="15.7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spans="1:31" ht="15.7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spans="1:31" ht="15.7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spans="1:31" ht="15.7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spans="1:31" ht="15.7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spans="1:31" ht="15.7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ht="15.7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spans="1:31" ht="15.7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spans="1:31" ht="15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spans="1:31" ht="15.7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spans="1:31" ht="15.7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15.7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15.7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15.7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15.7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spans="1:31" ht="15.7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spans="1:31" ht="15.7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spans="1:31" ht="15.7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spans="1:31" ht="15.7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spans="1:31" ht="15.7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spans="1:31" ht="15.7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ht="15.7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spans="1:31" ht="15.7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spans="1:31" ht="15.7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spans="1:31" ht="15.7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spans="1:31" ht="15.7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spans="1:31" ht="15.7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spans="1:31" ht="15.7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spans="1:31" ht="15.7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spans="1:31" ht="15.7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spans="1:31" ht="15.7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spans="1:31" ht="15.7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1:31" ht="15.7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1:31" ht="15.7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1:31" ht="15.7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1:31" ht="15.7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1:31" ht="15.7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1:31" ht="15.7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ht="15.7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ht="15.7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ht="15.7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ht="15.7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1:31" ht="15.7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1:31" ht="15.7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1:31" ht="15.7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1:31" ht="15.7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1:31" ht="15.7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1:31" ht="15.7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1:31" ht="15.7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1:31" ht="15.7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1:31" ht="15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1:31" ht="15.7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1:31" ht="15.7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1:31" ht="15.7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1:31" ht="15.7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1:31" ht="15.7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1:31" ht="15.7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1:31" ht="15.7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1:31" ht="15.7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1:31" ht="15.7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1:31" ht="15.7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1:31" ht="15.7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1:31" ht="15.7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1:31" ht="15.7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1:31" ht="15.7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ht="15.7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ht="15.7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ht="15.7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ht="15.7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1:31" ht="15.7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1:31" ht="15.7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1:31" ht="15.7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1:31" ht="15.7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1:31" ht="15.7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1:31" ht="15.7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1:31" ht="15.7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1:31" ht="15.7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1:31" ht="15.7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1:31" ht="15.7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1:31" ht="15.7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1:31" ht="15.7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1:31" ht="15.7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1:31" ht="15.7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1:31" ht="15.7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1:31" ht="15.7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1:31" ht="15.7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1:31" ht="15.7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1:31" ht="15.7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1:31" ht="15.7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1:31" ht="15.7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1:31" ht="15.7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1:31" ht="15.7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15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15.7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15.7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15.7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1:31" ht="15.7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1:31" ht="15.7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1:31" ht="15.7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1:31" ht="15.7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1:31" ht="15.7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1:31" ht="15.7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1:31" ht="15.7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1:31" ht="15.7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1:31" ht="15.7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1:31" ht="15.7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1:31" ht="15.7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1:31" ht="15.7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1:31" ht="15.7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1:31" ht="15.7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1:31" ht="15.7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1:31" ht="15.7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1:31" ht="15.7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1:31" ht="15.7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1:31" ht="15.7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1:31" ht="15.7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1:31" ht="15.7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1:31" ht="15.7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1:31" ht="15.7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15.7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15.7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15.7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15.7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1:31" ht="15.7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1:31" ht="15.7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1:31" ht="15.7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1:31" ht="15.7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1:31" ht="15.7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1:31" ht="15.7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1:31" ht="15.7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1:31" ht="15.7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1:31" ht="15.7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1:31" ht="15.7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1:31" ht="15.7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1:31" ht="15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1:31" ht="15.7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1:31" ht="15.7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1:31" ht="15.7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1:31" ht="15.7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1:31" ht="15.7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1:31" ht="15.7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1:31" ht="15.7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1:31" ht="15.7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1:31" ht="15.7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1:31" ht="15.7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1:31" ht="15.7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15.7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15.7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15.7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15.7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1:31" ht="15.7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1:31" ht="15.7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1:31" ht="15.7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1:31" ht="15.7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1:31" ht="15.7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1:31" ht="15.7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1:31" ht="15.7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1:31" ht="15.7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1:31" ht="15.7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1:31" ht="15.7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1:31" ht="15.7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1:31" ht="15.7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1:31" ht="15.7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1:31" ht="15.7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1:31" ht="15.7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1:31" ht="15.7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1:31" ht="15.7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5.7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5.7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5.7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5.7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5.7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5.7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5.7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5.7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5.7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5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5.7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5.7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5.7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5.7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5.7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5.7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5.7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5.7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5.7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5.7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5.7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5.7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ht="15.7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ht="15.7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ht="15.7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ht="15.7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ht="15.7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ht="15.7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ht="15.7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ht="15.7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ht="15.7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ht="15.7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ht="15.7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15.7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15.7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15.7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15.7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ht="15.7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ht="15.7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ht="15.7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ht="15.7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ht="15.7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ht="15.7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ht="15.7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ht="15.7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ht="15.7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ht="15.7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ht="15.7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ht="15.7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ht="15.7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ht="15.7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ht="15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ht="15.7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ht="15.7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ht="15.7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ht="15.7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ht="15.7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ht="15.7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ht="15.7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ht="15.7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15.7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15.7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15.7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15.7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ht="15.7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ht="15.7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ht="15.7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ht="15.7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ht="15.7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ht="15.7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ht="15.7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ht="15.7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ht="15.7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ht="15.7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ht="15.7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ht="15.7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ht="15.7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ht="15.7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ht="15.7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ht="15.7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ht="15.7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ht="15.7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ht="15.7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ht="15.7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ht="15.7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ht="15.7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ht="15.7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15.7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15.7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15.7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15.7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ht="15.7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ht="15.7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ht="15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ht="15.7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ht="15.7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ht="15.7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ht="15.7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ht="15.7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ht="15.7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ht="15.7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ht="15.7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ht="15.7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ht="15.7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ht="15.7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ht="15.7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ht="15.7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ht="15.7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ht="15.7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ht="15.7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spans="1:31" ht="15.7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spans="1:31" ht="15.7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spans="1:31" ht="15.7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spans="1:31" ht="15.7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ht="15.7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ht="15.7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ht="15.7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ht="15.7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spans="1:31" ht="15.7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spans="1:31" ht="15.7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spans="1:31" ht="15.7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spans="1:31" ht="15.7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spans="1:31" ht="15.7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spans="1:31" ht="15.7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ht="15.7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ht="15.7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ht="15.7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ht="15.7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ht="15.7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ht="15.7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ht="15.7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ht="15.7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ht="15.7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ht="15.7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ht="15.7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ht="15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ht="15.7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ht="15.7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ht="15.7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ht="15.7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spans="1:31" ht="15.7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ht="15.7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ht="15.7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ht="15.7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ht="15.7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spans="1:31" ht="15.7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spans="1:31" ht="15.7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spans="1:31" ht="15.7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spans="1:31" ht="15.7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spans="1:31" ht="15.7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spans="1:31" ht="15.7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spans="1:31" ht="15.7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spans="1:31" ht="15.7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spans="1:31" ht="15.7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spans="1:31" ht="15.7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spans="1:31" ht="15.7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spans="1:31" ht="15.7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spans="1:31" ht="15.7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spans="1:31" ht="15.7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spans="1:31" ht="15.7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spans="1:31" ht="15.7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spans="1:31" ht="15.7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spans="1:31" ht="15.7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spans="1:31" ht="15.7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spans="1:31" ht="15.7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spans="1:31" ht="15.7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spans="1:31" ht="15.7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spans="1:31" ht="15.7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ht="15.7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ht="15.7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ht="15.7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ht="15.7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spans="1:31" ht="15.7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spans="1:31" ht="15.7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spans="1:31" ht="15.7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spans="1:31" ht="15.7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spans="1:31" ht="15.7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spans="1:31" ht="15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spans="1:31" ht="15.7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spans="1:31" ht="15.7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spans="1:31" ht="15.7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spans="1:31" ht="15.7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spans="1:31" ht="15.7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spans="1:31" ht="15.7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spans="1:31" ht="15.7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spans="1:31" ht="15.7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spans="1:31" ht="15.7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spans="1:31" ht="15.7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spans="1:31" ht="15.7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spans="1:31" ht="15.7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spans="1:31" ht="15.7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spans="1:31" ht="15.7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spans="1:31" ht="15.7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spans="1:31" ht="15.7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spans="1:31" ht="15.7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ht="15.7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ht="15.7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ht="15.7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ht="15.7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spans="1:31" ht="15.7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spans="1:31" ht="15.7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spans="1:31" ht="15.7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spans="1:31" ht="15.7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spans="1:31" ht="15.7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spans="1:31" ht="15.7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spans="1:31" ht="15.7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spans="1:31" ht="15.7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spans="1:31" ht="15.7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spans="1:31" ht="15.7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spans="1:31" ht="15.7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spans="1:31" ht="15.7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spans="1:31" ht="15.7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spans="1:31" ht="15.7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spans="1:31" ht="15.7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spans="1:31" ht="15.7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spans="1:31" ht="15.7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spans="1:31" ht="15.7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spans="1:31" ht="15.7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spans="1:31" ht="15.7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spans="1:31" ht="15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spans="1:31" ht="15.7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spans="1:31" ht="15.7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ht="15.7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ht="15.7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ht="15.7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ht="15.7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spans="1:31" ht="15.7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spans="1:31" ht="15.7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spans="1:31" ht="15.7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spans="1:31" ht="15.7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spans="1:31" ht="15.7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spans="1:31" ht="15.7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spans="1:31" ht="15.7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spans="1:31" ht="15.7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spans="1:31" ht="15.7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spans="1:31" ht="15.7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spans="1:31" ht="15.7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spans="1:31" ht="15.7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spans="1:31" ht="15.7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spans="1:31" ht="15.7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spans="1:31" ht="15.7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spans="1:31" ht="15.7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spans="1:31" ht="15.7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spans="1:31" ht="15.7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spans="1:31" ht="15.7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spans="1:31" ht="15.7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spans="1:31" ht="15.7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spans="1:31" ht="15.7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spans="1:31" ht="15.7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ht="15.7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ht="15.7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ht="15.7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ht="15.7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spans="1:31" ht="15.7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spans="1:31" ht="15.7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spans="1:31" ht="15.7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spans="1:31" ht="15.7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spans="1:31" ht="15.7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spans="1:31" ht="15.7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spans="1:31" ht="15.7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spans="1:31" ht="15.7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spans="1:31" ht="15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spans="1:31" ht="15.7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spans="1:31" ht="15.7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spans="1:31" ht="15.7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spans="1:31" ht="15.7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spans="1:31" ht="15.7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spans="1:31" ht="15.7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spans="1:31" ht="15.7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spans="1:31" ht="15.7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spans="1:31" ht="15.7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spans="1:31" ht="15.7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spans="1:31" ht="15.7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spans="1:31" ht="15.7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spans="1:31" ht="15.7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spans="1:31" ht="15.7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ht="15.7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ht="15.7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ht="15.7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ht="15.7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spans="1:31" ht="15.7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spans="1:31" ht="15.7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spans="1:31" ht="15.7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spans="1:31" ht="15.7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spans="1:31" ht="15.7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spans="1:31" ht="15.7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spans="1:31" ht="15.7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spans="1:31" ht="15.7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spans="1:31" ht="15.7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spans="1:31" ht="15.7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spans="1:31" ht="15.7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spans="1:31" ht="15.7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spans="1:31" ht="15.7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spans="1:31" ht="15.7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spans="1:31" ht="15.7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spans="1:31" ht="15.7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spans="1:31" ht="15.7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spans="1:31" ht="15.7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spans="1:31" ht="15.7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spans="1:31" ht="15.7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spans="1:31" ht="15.7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spans="1:31" ht="15.7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spans="1:31" ht="15.7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ht="15.7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ht="15.7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ht="15.7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ht="15.7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spans="1:31" ht="15.7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spans="1:31" ht="15.7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spans="1:31" ht="15.7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spans="1:31" ht="15.7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spans="1:31" ht="15.7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spans="1:31" ht="15.7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spans="1:31" ht="15.7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spans="1:31" ht="15.7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spans="1:31" ht="15.7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spans="1:31" ht="15.7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spans="1:31" ht="15.7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spans="1:31" ht="15.7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spans="1:31" ht="15.7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spans="1:31" ht="15.7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spans="1:31" ht="15.7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spans="1:31" ht="15.7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spans="1:31" ht="15.7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spans="1:31" ht="15.7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spans="1:31" ht="15.7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spans="1:31" ht="15.7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spans="1:31" ht="15.7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spans="1:31" ht="15.7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spans="1:31" ht="15.7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ht="15.7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ht="15.7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ht="15.7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ht="15.7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spans="1:31" ht="15.7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spans="1:31" ht="15.7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spans="1:31" ht="15.7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spans="1:31" ht="15.7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spans="1:31" ht="15.7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spans="1:31" ht="15.7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spans="1:31" ht="15.7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spans="1:31" ht="15.7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spans="1:31" ht="15.7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spans="1:31" ht="15.7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spans="1:31" ht="15.7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spans="1:31" ht="15.7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spans="1:31" ht="15.7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spans="1:31" ht="15.7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spans="1:31" ht="15.7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spans="1:31" ht="15.7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spans="1:31" ht="15.7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spans="1:31" ht="15.7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spans="1:31" ht="15.7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spans="1:31" ht="15.7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spans="1:31" ht="15.7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spans="1:31" ht="15.7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spans="1:31" ht="15.7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ht="15.7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ht="15.7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ht="15.7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ht="15.7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spans="1:31" ht="15.7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spans="1:31" ht="15.7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spans="1:31" ht="15.7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spans="1:31" ht="15.7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spans="1:31" ht="15.7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spans="1:31" ht="15.7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spans="1:31" ht="15.7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spans="1:31" ht="15.7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spans="1:31" ht="15.7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spans="1:31" ht="15.7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spans="1:31" ht="15.7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spans="1:31" ht="15.7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spans="1:31" ht="15.7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spans="1:31" ht="15.7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spans="1:31" ht="15.7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spans="1:31" ht="15.7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spans="1:31" ht="15.7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spans="1:31" ht="15.7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spans="1:31" ht="15.7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spans="1:31" ht="15.7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spans="1:31" ht="15.7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spans="1:31" ht="15.7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spans="1:31" ht="15.7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ht="15.7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ht="15.7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ht="15.7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ht="15.7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spans="1:31" ht="15.7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spans="1:31" ht="15.7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spans="1:31" ht="15.7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spans="1:31" ht="15.7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spans="1:31" ht="15.7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spans="1:31" ht="15.7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spans="1:31" ht="15.7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spans="1:31" ht="15.7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spans="1:31" ht="15.7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spans="1:31" ht="15.7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spans="1:31" ht="15.7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spans="1:31" ht="15.7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spans="1:31" ht="15.7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spans="1:31" ht="15.7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spans="1:31" ht="15.7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spans="1:31" ht="15.7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spans="1:31" ht="15.7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spans="1:31" ht="15.7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spans="1:31" ht="15.7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spans="1:31" ht="15.7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spans="1:31" ht="15.7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spans="1:31" ht="15.7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spans="1:31" ht="15.7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ht="15.7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ht="15.7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ht="15.7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ht="15.7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spans="1:31" ht="15.7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spans="1:31" ht="15.7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spans="1:31" ht="15.7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spans="1:31" ht="15.7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spans="1:31" ht="15.7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spans="1:31" ht="15.7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spans="1:31" ht="15.7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spans="1:31" ht="15.7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spans="1:31" ht="15.7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spans="1:31" ht="15.7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spans="1:31" ht="15.7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spans="1:31" ht="15.7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spans="1:31" ht="15.7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spans="1:31" ht="15.7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spans="1:31" ht="15.7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spans="1:31" ht="15.7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spans="1:31" ht="15.7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spans="1:31" ht="15.7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spans="1:31" ht="15.7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spans="1:31" ht="15.7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spans="1:31" ht="15.7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spans="1:31" ht="15.7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spans="1:31" ht="15.7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spans="1:31" ht="15.7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spans="1:31" ht="15.7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spans="1:31" ht="15.7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spans="1:31" ht="15.7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spans="1:31" ht="15.7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spans="1:31" ht="15.7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spans="1:31" ht="15.7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spans="1:31" ht="15.7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spans="1:31" ht="15.7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spans="1:31" ht="15.7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spans="1:31" ht="15.7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spans="1:31" ht="15.7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spans="1:31" ht="15.7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spans="1:31" ht="15.7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spans="1:31" ht="15.7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spans="1:31" ht="15.7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spans="1:31" ht="15.7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spans="1:31" ht="15.7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spans="1:31" ht="15.7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spans="1:31" ht="15.7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spans="1:31" ht="15.7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spans="1:31" ht="15.7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spans="1:31" ht="15.7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spans="1:31" ht="15.7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spans="1:31" ht="15.7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spans="1:31" ht="15.7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spans="1:31" ht="15.7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spans="1:31" ht="15.7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spans="1:31" ht="15.7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spans="1:31" ht="15.7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spans="1:31" ht="15.7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spans="1:31" ht="15.7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spans="1:31" ht="15.7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spans="1:31" ht="15.7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spans="1:31" ht="15.7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spans="1:31" ht="15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spans="1:31" ht="15.7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spans="1:31" ht="15.7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spans="1:31" ht="15.7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spans="1:31" ht="15.7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spans="1:31" ht="15.7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spans="1:31" ht="15.7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spans="1:31" ht="15.7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spans="1:31" ht="15.7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spans="1:31" ht="15.7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spans="1:31" ht="15.7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spans="1:31" ht="15.7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spans="1:31" ht="15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spans="1:31" ht="15.7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spans="1:31" ht="15.7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spans="1:31" ht="15.7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spans="1:31" ht="15.7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spans="1:31" ht="15.7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spans="1:31" ht="15.7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spans="1:31" ht="15.7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spans="1:31" ht="15.7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spans="1:31" ht="15.7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spans="1:31" ht="15.7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spans="1:31" ht="15.7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spans="1:31" ht="15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spans="1:31" ht="15.7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spans="1:31" ht="15.7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spans="1:31" ht="15.7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spans="1:31" ht="15.7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spans="1:31" ht="15.7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spans="1:31" ht="15.7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spans="1:31" ht="15.7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spans="1:31" ht="15.7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spans="1:31" ht="15.7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spans="1:31" ht="15.7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spans="1:31" ht="15.7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spans="1:31" ht="15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spans="1:31" ht="15.7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spans="1:31" ht="15.7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spans="1:31" ht="15.7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spans="1:31" ht="15.7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spans="1:31" ht="15.7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spans="1:31" ht="15.7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spans="1:31" ht="15.7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spans="1:31" ht="15.7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spans="1:31" ht="15.7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spans="1:31" ht="15.7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spans="1:31" ht="15.7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spans="1:31" ht="15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spans="1:31" ht="15.7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spans="1:31" ht="15.7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spans="1:31" ht="15.7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spans="1:31" ht="15.7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spans="1:31" ht="15.7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spans="1:31" ht="15.7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spans="1:31" ht="15.7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spans="1:31" ht="15.7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spans="1:31" ht="15.7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spans="1:31" ht="15.7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spans="1:31" ht="15.7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spans="1:31" ht="15.7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spans="1:31" ht="15.7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spans="1:31" ht="15.7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spans="1:31" ht="15.7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spans="1:31" ht="15.7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spans="1:31" ht="15.7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spans="1:31" ht="15.7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spans="1:31" ht="15.7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spans="1:31" ht="15.7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spans="1:31" ht="15.7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spans="1:31" ht="15.7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spans="1:31" ht="15.7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spans="1:31" ht="15.7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spans="1:31" ht="15.7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spans="1:31" ht="15.7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spans="1:31" ht="15.7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spans="1:31" ht="15.7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spans="1:31" ht="15.7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spans="1:31" ht="15.7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spans="1:31" ht="15.7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spans="1:31" ht="15.7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spans="1:31" ht="15.7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spans="1:31" ht="15.7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spans="1:31" ht="15.7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spans="1:31" ht="15.7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spans="1:31" ht="15.7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spans="1:31" ht="15.7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spans="1:31" ht="15.7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spans="1:31" ht="15.7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spans="1:31" ht="15.7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spans="1:31" ht="15.7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spans="1:31" ht="15.7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spans="1:31" ht="15.7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spans="1:31" ht="15.7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spans="1:31" ht="15.7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spans="1:31" ht="15.7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spans="1:31" ht="15.7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spans="1:31" ht="15.7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spans="1:31" ht="15.7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spans="1:31" ht="15.7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spans="1:31" ht="15.7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spans="1:31" ht="15.7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spans="1:31" ht="15.7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spans="1:31" ht="15.7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spans="1:31" ht="15.7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spans="1:31" ht="15.7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spans="1:31" ht="15.7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spans="1:31" ht="15.7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spans="1:31" ht="15.7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spans="1:31" ht="15.7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spans="1:31" ht="15.7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spans="1:31" ht="15.7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spans="1:31" ht="15.7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spans="1:31" ht="15.7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spans="1:31" ht="15.7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spans="1:31" ht="15.7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spans="1:31" ht="15.7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spans="1:31" ht="15.7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spans="1:31" ht="15.7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spans="1:31" ht="15.7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spans="1:31" ht="15.7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spans="1:31" ht="15.7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spans="1:31" ht="15.7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spans="1:31" ht="15.7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spans="1:31" ht="15.7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spans="1:31" ht="15.7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spans="1:31" ht="15.7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spans="1:31" ht="15.7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spans="1:31" ht="15.7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spans="1:31" ht="15.7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spans="1:31" ht="15.7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spans="1:31" ht="15.7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spans="1:31" ht="15.7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spans="1:31" ht="15.7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spans="1:31" ht="15.7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spans="1:31" ht="15.7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spans="1:31" ht="15.7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spans="1:31" ht="15.7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spans="1:31" ht="15.7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spans="1:31" ht="15.7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spans="1:31" ht="15.7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spans="1:31" ht="15.7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spans="1:31" ht="15.7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spans="1:31" ht="15.7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spans="1:31" ht="15.7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spans="1:31" ht="15.7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spans="1:31" ht="15.7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spans="1:31" ht="15.7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spans="1:31" ht="15.7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spans="1:31" ht="15.7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spans="1:31" ht="15.7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spans="1:31" ht="15.7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spans="1:31" ht="15.7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spans="1:31" ht="15.7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spans="1:31" ht="15.7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spans="1:31" ht="15.7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spans="1:31" ht="15.7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spans="1:31" ht="15.7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spans="1:31" ht="15.7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spans="1:31" ht="15.7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spans="1:31" ht="15.7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spans="1:31" ht="15.7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spans="1:31" ht="15.7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spans="1:31" ht="15.7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spans="1:31" ht="15.7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spans="1:31" ht="15.7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spans="1:31" ht="15.7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spans="1:31" ht="15.7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spans="1:31" ht="15.7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spans="1:31" ht="15.7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spans="1:31" ht="15.7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spans="1:31" ht="15.7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spans="1:31" ht="15.7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spans="1:31" ht="15.7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spans="1:31" ht="15.7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spans="1:31" ht="15.7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spans="1:31" ht="15.7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spans="1:31" ht="15.7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spans="1:31" ht="15.7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spans="1:31" ht="15.7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spans="1:31" ht="15.7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spans="1:31" ht="15.7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spans="1:31" ht="15.7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 spans="1:31" ht="15.7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 spans="1:31" ht="15.7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</row>
    <row r="991" spans="1:31" ht="15.7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</row>
    <row r="992" spans="1:31" ht="15.7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</row>
    <row r="993" spans="1:31" ht="15.7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</row>
    <row r="994" spans="1:31" ht="15.7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</row>
    <row r="995" spans="1:31" ht="15.7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</row>
    <row r="996" spans="1:31" ht="15.7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</row>
    <row r="997" spans="1:31" ht="15.7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</row>
    <row r="998" spans="1:31" ht="15.7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</row>
    <row r="999" spans="1:31" ht="15.7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</row>
    <row r="1000" spans="1:31" ht="15.7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</row>
    <row r="1001" spans="1:31" ht="15.75" customHeight="1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</row>
    <row r="1002" spans="1:31" ht="15.75" customHeight="1" x14ac:dyDescent="0.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</row>
    <row r="1003" spans="1:31" ht="15.75" customHeight="1" x14ac:dyDescent="0.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</row>
    <row r="1004" spans="1:31" ht="15.75" customHeight="1" x14ac:dyDescent="0.3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</row>
    <row r="1005" spans="1:31" ht="15.75" customHeight="1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</row>
    <row r="1006" spans="1:31" ht="15.75" customHeight="1" x14ac:dyDescent="0.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</row>
    <row r="1007" spans="1:31" ht="15.75" customHeight="1" x14ac:dyDescent="0.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</row>
    <row r="1008" spans="1:31" ht="15.75" customHeight="1" x14ac:dyDescent="0.3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</row>
    <row r="1009" spans="1:31" ht="15.75" customHeight="1" x14ac:dyDescent="0.3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</row>
    <row r="1010" spans="1:31" ht="15.75" customHeight="1" x14ac:dyDescent="0.3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</row>
    <row r="1011" spans="1:31" ht="15.75" customHeight="1" x14ac:dyDescent="0.3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</row>
    <row r="1012" spans="1:31" ht="15.75" customHeight="1" x14ac:dyDescent="0.3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</row>
    <row r="1013" spans="1:31" ht="15.75" customHeight="1" x14ac:dyDescent="0.3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</row>
    <row r="1014" spans="1:31" ht="15.75" customHeight="1" x14ac:dyDescent="0.3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</row>
    <row r="1015" spans="1:31" ht="15.75" customHeight="1" x14ac:dyDescent="0.3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</row>
    <row r="1016" spans="1:31" ht="15.75" customHeight="1" x14ac:dyDescent="0.3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</row>
    <row r="1017" spans="1:31" ht="15.75" customHeight="1" x14ac:dyDescent="0.3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</row>
    <row r="1018" spans="1:31" ht="15.75" customHeight="1" x14ac:dyDescent="0.3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</row>
    <row r="1019" spans="1:31" ht="15.75" customHeight="1" x14ac:dyDescent="0.3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</row>
    <row r="1020" spans="1:31" ht="15.75" customHeight="1" x14ac:dyDescent="0.3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</row>
    <row r="1021" spans="1:31" ht="15.75" customHeight="1" x14ac:dyDescent="0.3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</row>
    <row r="1022" spans="1:31" ht="15.75" customHeight="1" x14ac:dyDescent="0.3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</row>
    <row r="1023" spans="1:31" ht="15.75" customHeight="1" x14ac:dyDescent="0.3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</row>
    <row r="1024" spans="1:31" ht="15.75" customHeight="1" x14ac:dyDescent="0.3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</row>
  </sheetData>
  <sheetProtection sheet="1" objects="1" scenarios="1"/>
  <mergeCells count="14">
    <mergeCell ref="H3:I3"/>
    <mergeCell ref="E25:H25"/>
    <mergeCell ref="K27:N27"/>
    <mergeCell ref="L53:M53"/>
    <mergeCell ref="F60:G60"/>
    <mergeCell ref="F61:G61"/>
    <mergeCell ref="B2:F2"/>
    <mergeCell ref="B3:D3"/>
    <mergeCell ref="E3:F3"/>
    <mergeCell ref="F54:G54"/>
    <mergeCell ref="F55:G55"/>
    <mergeCell ref="F56:G56"/>
    <mergeCell ref="F57:G57"/>
    <mergeCell ref="F58:G58"/>
  </mergeCells>
  <conditionalFormatting sqref="E29:E33">
    <cfRule type="expression" dxfId="86" priority="12">
      <formula>$E29=0</formula>
    </cfRule>
  </conditionalFormatting>
  <conditionalFormatting sqref="E33">
    <cfRule type="expression" dxfId="85" priority="56">
      <formula>$E33="loan data missing"</formula>
    </cfRule>
  </conditionalFormatting>
  <conditionalFormatting sqref="E31:F31">
    <cfRule type="expression" dxfId="84" priority="27">
      <formula>$E31=0</formula>
    </cfRule>
  </conditionalFormatting>
  <conditionalFormatting sqref="F29:F31">
    <cfRule type="expression" dxfId="83" priority="54">
      <formula>$E29=0</formula>
    </cfRule>
  </conditionalFormatting>
  <conditionalFormatting sqref="F29:F33">
    <cfRule type="expression" dxfId="82" priority="55">
      <formula>$F29=0</formula>
    </cfRule>
  </conditionalFormatting>
  <conditionalFormatting sqref="F33">
    <cfRule type="expression" dxfId="81" priority="31">
      <formula>$F33="loan data missing"</formula>
    </cfRule>
  </conditionalFormatting>
  <conditionalFormatting sqref="F55:F61">
    <cfRule type="expression" dxfId="80" priority="36">
      <formula>$F55=0</formula>
    </cfRule>
  </conditionalFormatting>
  <conditionalFormatting sqref="F56">
    <cfRule type="expression" dxfId="79" priority="77">
      <formula>O60=3</formula>
    </cfRule>
  </conditionalFormatting>
  <conditionalFormatting sqref="G29:G33">
    <cfRule type="expression" dxfId="78" priority="11">
      <formula>$G29=0</formula>
    </cfRule>
  </conditionalFormatting>
  <conditionalFormatting sqref="G33">
    <cfRule type="expression" dxfId="77" priority="30">
      <formula>$G33="loan data missing"</formula>
    </cfRule>
    <cfRule type="expression" dxfId="76" priority="29">
      <formula>$G31=0</formula>
    </cfRule>
  </conditionalFormatting>
  <conditionalFormatting sqref="H29:H33">
    <cfRule type="expression" dxfId="75" priority="10">
      <formula>$H29=0</formula>
    </cfRule>
  </conditionalFormatting>
  <conditionalFormatting sqref="H33">
    <cfRule type="expression" dxfId="74" priority="73">
      <formula>$H33="loan data missing"</formula>
    </cfRule>
    <cfRule type="expression" dxfId="73" priority="28">
      <formula>$H31=0</formula>
    </cfRule>
  </conditionalFormatting>
  <conditionalFormatting sqref="H67">
    <cfRule type="expression" dxfId="72" priority="47">
      <formula>$H67="no loan rate entered"</formula>
    </cfRule>
  </conditionalFormatting>
  <conditionalFormatting sqref="H54:I54">
    <cfRule type="notContainsBlanks" dxfId="71" priority="79">
      <formula>LEN(TRIM(H54))&gt;0</formula>
    </cfRule>
  </conditionalFormatting>
  <conditionalFormatting sqref="I24">
    <cfRule type="expression" dxfId="70" priority="49">
      <formula>$I24="marital status missing"</formula>
    </cfRule>
  </conditionalFormatting>
  <conditionalFormatting sqref="I50">
    <cfRule type="expression" dxfId="69" priority="50">
      <formula>$I50="data missing"</formula>
    </cfRule>
  </conditionalFormatting>
  <conditionalFormatting sqref="I58 F56 F54">
    <cfRule type="expression" dxfId="68" priority="76">
      <formula>O60=3</formula>
    </cfRule>
  </conditionalFormatting>
  <conditionalFormatting sqref="I58">
    <cfRule type="expression" dxfId="67" priority="78">
      <formula>O60=3</formula>
    </cfRule>
    <cfRule type="expression" dxfId="66" priority="45">
      <formula>$I58="loan rate missing"</formula>
    </cfRule>
    <cfRule type="expression" dxfId="65" priority="38">
      <formula>$F58=0</formula>
    </cfRule>
  </conditionalFormatting>
  <conditionalFormatting sqref="I63:I67 L65">
    <cfRule type="expression" dxfId="64" priority="43">
      <formula>$I63="loan data missing"</formula>
    </cfRule>
  </conditionalFormatting>
  <conditionalFormatting sqref="I67">
    <cfRule type="expression" dxfId="63" priority="48">
      <formula>$I67="loan rate missing"</formula>
    </cfRule>
  </conditionalFormatting>
  <conditionalFormatting sqref="I69:I70">
    <cfRule type="expression" dxfId="62" priority="39">
      <formula>$I69="loan data missing"</formula>
    </cfRule>
  </conditionalFormatting>
  <conditionalFormatting sqref="I72:I73">
    <cfRule type="expression" dxfId="61" priority="41">
      <formula>$I72="loan data missing"</formula>
    </cfRule>
    <cfRule type="cellIs" dxfId="60" priority="80" operator="lessThan">
      <formula>1</formula>
    </cfRule>
    <cfRule type="expression" dxfId="59" priority="51">
      <formula>$I72="loan data missing"</formula>
    </cfRule>
  </conditionalFormatting>
  <conditionalFormatting sqref="I72:I74">
    <cfRule type="cellIs" dxfId="58" priority="35" operator="greaterThan">
      <formula>0.99999</formula>
    </cfRule>
  </conditionalFormatting>
  <conditionalFormatting sqref="I74">
    <cfRule type="cellIs" dxfId="57" priority="74" operator="equal">
      <formula>"PASS"</formula>
    </cfRule>
    <cfRule type="cellIs" dxfId="56" priority="75" operator="equal">
      <formula>"FAIL"</formula>
    </cfRule>
  </conditionalFormatting>
  <conditionalFormatting sqref="J54">
    <cfRule type="expression" dxfId="55" priority="58">
      <formula>$F29=0</formula>
    </cfRule>
  </conditionalFormatting>
  <conditionalFormatting sqref="J55">
    <cfRule type="expression" dxfId="54" priority="61">
      <formula>$F33="loan data missing"</formula>
    </cfRule>
  </conditionalFormatting>
  <conditionalFormatting sqref="J63">
    <cfRule type="expression" dxfId="53" priority="62">
      <formula>$I50="data missing"</formula>
    </cfRule>
  </conditionalFormatting>
  <conditionalFormatting sqref="K39:K48">
    <cfRule type="expression" dxfId="52" priority="5">
      <formula>$E29=0</formula>
    </cfRule>
  </conditionalFormatting>
  <conditionalFormatting sqref="K49">
    <cfRule type="expression" dxfId="51" priority="4">
      <formula>$F43=0</formula>
    </cfRule>
  </conditionalFormatting>
  <conditionalFormatting sqref="K50">
    <cfRule type="expression" dxfId="50" priority="1">
      <formula>$I50="data missing"</formula>
    </cfRule>
  </conditionalFormatting>
  <conditionalFormatting sqref="K73:K74">
    <cfRule type="expression" dxfId="49" priority="63">
      <formula>OR($I72&lt;0,ISTEXT($I72))</formula>
    </cfRule>
    <cfRule type="cellIs" dxfId="48" priority="64" operator="greaterThan">
      <formula>0.99999</formula>
    </cfRule>
    <cfRule type="expression" dxfId="47" priority="65">
      <formula>$I72="loan data missing"</formula>
    </cfRule>
    <cfRule type="expression" dxfId="46" priority="67">
      <formula>$I72="loan data missing"</formula>
    </cfRule>
  </conditionalFormatting>
  <conditionalFormatting sqref="K74">
    <cfRule type="expression" dxfId="45" priority="69">
      <formula>$I73="loan data missing"</formula>
    </cfRule>
    <cfRule type="expression" dxfId="44" priority="70">
      <formula>$I73="loan data missing"</formula>
    </cfRule>
  </conditionalFormatting>
  <conditionalFormatting sqref="K49:L49">
    <cfRule type="expression" dxfId="43" priority="3">
      <formula>$D36=0</formula>
    </cfRule>
    <cfRule type="expression" dxfId="42" priority="2">
      <formula>$F29=0</formula>
    </cfRule>
  </conditionalFormatting>
  <conditionalFormatting sqref="L50">
    <cfRule type="expression" dxfId="41" priority="7">
      <formula>$E50=0</formula>
    </cfRule>
    <cfRule type="expression" dxfId="40" priority="6">
      <formula>$G35=0</formula>
    </cfRule>
  </conditionalFormatting>
  <conditionalFormatting sqref="L59">
    <cfRule type="expression" dxfId="39" priority="44">
      <formula>$L59="loan term missing"</formula>
    </cfRule>
  </conditionalFormatting>
  <conditionalFormatting sqref="L60">
    <cfRule type="expression" dxfId="38" priority="34">
      <formula>$L60="loan rate missing"</formula>
    </cfRule>
  </conditionalFormatting>
  <conditionalFormatting sqref="M15">
    <cfRule type="expression" dxfId="37" priority="46">
      <formula>$E6=0</formula>
    </cfRule>
  </conditionalFormatting>
  <conditionalFormatting sqref="M32">
    <cfRule type="expression" dxfId="36" priority="72">
      <formula>$K39="loan term missing"</formula>
    </cfRule>
  </conditionalFormatting>
  <conditionalFormatting sqref="M33">
    <cfRule type="expression" dxfId="35" priority="57">
      <formula>$E33="loan rate missing"</formula>
    </cfRule>
  </conditionalFormatting>
  <conditionalFormatting sqref="M34">
    <cfRule type="expression" dxfId="34" priority="16">
      <formula>$E33="loan data missing"</formula>
    </cfRule>
  </conditionalFormatting>
  <conditionalFormatting sqref="N32">
    <cfRule type="expression" dxfId="33" priority="24">
      <formula>$K49="loan term missing"</formula>
    </cfRule>
  </conditionalFormatting>
  <conditionalFormatting sqref="N33">
    <cfRule type="expression" dxfId="32" priority="23">
      <formula>$F33="loan rate missing"</formula>
    </cfRule>
    <cfRule type="expression" dxfId="31" priority="22">
      <formula>$E38="loan rate missing"</formula>
    </cfRule>
  </conditionalFormatting>
  <conditionalFormatting sqref="N34">
    <cfRule type="expression" dxfId="30" priority="15">
      <formula>$F33="loan data missing"</formula>
    </cfRule>
  </conditionalFormatting>
  <conditionalFormatting sqref="O32">
    <cfRule type="expression" dxfId="29" priority="19">
      <formula>$K50="loan term missing"</formula>
    </cfRule>
  </conditionalFormatting>
  <conditionalFormatting sqref="O33">
    <cfRule type="expression" dxfId="28" priority="21">
      <formula>$D43="loan rate missing"</formula>
    </cfRule>
    <cfRule type="expression" dxfId="27" priority="20">
      <formula>$E37="loan rate missing"</formula>
    </cfRule>
  </conditionalFormatting>
  <conditionalFormatting sqref="O34">
    <cfRule type="expression" dxfId="26" priority="14">
      <formula>$D43="loan data missing"</formula>
    </cfRule>
  </conditionalFormatting>
  <conditionalFormatting sqref="P32">
    <cfRule type="expression" dxfId="25" priority="71">
      <formula>$K51="loan term missing"</formula>
    </cfRule>
  </conditionalFormatting>
  <conditionalFormatting sqref="P33">
    <cfRule type="expression" dxfId="24" priority="18">
      <formula>$F43="loan rate missing"</formula>
    </cfRule>
    <cfRule type="expression" dxfId="23" priority="17">
      <formula>$E52="loan rate missing"</formula>
    </cfRule>
  </conditionalFormatting>
  <conditionalFormatting sqref="P34">
    <cfRule type="expression" dxfId="22" priority="13">
      <formula>$F43="loan data missing"</formula>
    </cfRule>
  </conditionalFormatting>
  <dataValidations count="13">
    <dataValidation type="list" allowBlank="1" sqref="F56" xr:uid="{00000000-0002-0000-0000-000000000000}">
      <formula1>"Investment,Owner Occupied"</formula1>
    </dataValidation>
    <dataValidation type="list" allowBlank="1" showErrorMessage="1" sqref="E18" xr:uid="{00000000-0002-0000-0000-000001000000}">
      <formula1>$U$20</formula1>
    </dataValidation>
    <dataValidation type="decimal" operator="equal" allowBlank="1" showDropDown="1" showErrorMessage="1" sqref="K39:K49" xr:uid="{00000000-0002-0000-0000-000002000000}">
      <formula1>30</formula1>
    </dataValidation>
    <dataValidation type="list" allowBlank="1" showErrorMessage="1" sqref="G18" xr:uid="{00000000-0002-0000-0000-000003000000}">
      <formula1>$W$20:$W$21</formula1>
    </dataValidation>
    <dataValidation type="list" allowBlank="1" showErrorMessage="1" sqref="I62" xr:uid="{00000000-0002-0000-0000-000004000000}">
      <formula1>$N$64:$N$67</formula1>
    </dataValidation>
    <dataValidation type="list" allowBlank="1" showErrorMessage="1" sqref="E19:H19" xr:uid="{00000000-0002-0000-0000-000005000000}">
      <formula1>$Z$6:$Z$11</formula1>
    </dataValidation>
    <dataValidation type="list" allowBlank="1" showErrorMessage="1" sqref="H18" xr:uid="{00000000-0002-0000-0000-000006000000}">
      <formula1>$X$20:$X$22</formula1>
    </dataValidation>
    <dataValidation type="list" allowBlank="1" showErrorMessage="1" sqref="E20:H20" xr:uid="{00000000-0002-0000-0000-000008000000}">
      <formula1>$AB$27:$AB$34</formula1>
    </dataValidation>
    <dataValidation type="list" allowBlank="1" showErrorMessage="1" sqref="F18" xr:uid="{00000000-0002-0000-0000-000009000000}">
      <formula1>$V$20:$V$21</formula1>
    </dataValidation>
    <dataValidation type="decimal" operator="greaterThanOrEqual" allowBlank="1" showDropDown="1" showInputMessage="1" showErrorMessage="1" prompt="Please refer to our latest rate table: https://selecthome.co.nz/matrix/ " sqref="F61" xr:uid="{00000000-0002-0000-0000-00000A000000}">
      <formula1>L64</formula1>
    </dataValidation>
    <dataValidation type="list" allowBlank="1" showErrorMessage="1" sqref="F54" xr:uid="{00000000-0002-0000-0000-00000B000000}">
      <formula1>"Principal and Interest,Interest Only"</formula1>
    </dataValidation>
    <dataValidation type="list" allowBlank="1" sqref="E10:H10" xr:uid="{00000000-0002-0000-0000-00000C000000}">
      <formula1>$AD$6:$AD$12</formula1>
    </dataValidation>
    <dataValidation type="list" allowBlank="1" showErrorMessage="1" sqref="F55:G55" xr:uid="{50D9D38B-26D7-4F27-9D8D-767CF0F31143}">
      <formula1>"None,1,2,3,4,5"</formula1>
    </dataValidation>
  </dataValidations>
  <hyperlinks>
    <hyperlink ref="H3" r:id="rId1" xr:uid="{00000000-0004-0000-0000-000000000000}"/>
  </hyperlinks>
  <pageMargins left="0.7" right="0.7" top="0.75" bottom="0.75" header="0" footer="0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showGridLines="0" workbookViewId="0">
      <selection sqref="A1:F1"/>
    </sheetView>
  </sheetViews>
  <sheetFormatPr defaultColWidth="14.3984375" defaultRowHeight="15" customHeight="1" outlineLevelCol="1" x14ac:dyDescent="0.3"/>
  <cols>
    <col min="1" max="1" width="5.3984375" customWidth="1"/>
    <col min="2" max="2" width="39.69921875" customWidth="1"/>
    <col min="3" max="3" width="2.59765625" customWidth="1"/>
    <col min="4" max="4" width="28.09765625" customWidth="1"/>
    <col min="5" max="5" width="20.8984375" customWidth="1"/>
    <col min="6" max="6" width="20.69921875" customWidth="1"/>
    <col min="7" max="7" width="3.296875" customWidth="1"/>
    <col min="8" max="8" width="15.69921875" customWidth="1"/>
    <col min="9" max="9" width="3.296875" customWidth="1"/>
    <col min="10" max="10" width="8.69921875" customWidth="1"/>
    <col min="11" max="11" width="10.296875" customWidth="1"/>
    <col min="12" max="14" width="8.69921875" customWidth="1"/>
    <col min="15" max="16" width="9.09765625" customWidth="1" outlineLevel="1"/>
    <col min="17" max="17" width="25.69921875" customWidth="1" outlineLevel="1"/>
    <col min="18" max="19" width="11.296875" customWidth="1" outlineLevel="1"/>
    <col min="20" max="21" width="11.09765625" customWidth="1" outlineLevel="1"/>
    <col min="22" max="22" width="9.09765625" customWidth="1" outlineLevel="1"/>
    <col min="23" max="23" width="18.69921875" customWidth="1" outlineLevel="1"/>
    <col min="24" max="24" width="13.8984375" customWidth="1" outlineLevel="1"/>
    <col min="25" max="25" width="14.69921875" customWidth="1" outlineLevel="1"/>
    <col min="26" max="26" width="9.09765625" customWidth="1" outlineLevel="1"/>
    <col min="27" max="27" width="11" customWidth="1" outlineLevel="1"/>
  </cols>
  <sheetData>
    <row r="1" spans="1:27" ht="34.5" customHeight="1" x14ac:dyDescent="0.3">
      <c r="A1" s="409" t="s">
        <v>110</v>
      </c>
      <c r="B1" s="410"/>
      <c r="C1" s="410"/>
      <c r="D1" s="410"/>
      <c r="E1" s="410"/>
      <c r="F1" s="410"/>
      <c r="G1" s="239"/>
      <c r="H1" s="239"/>
      <c r="I1" s="239"/>
      <c r="J1" s="239"/>
      <c r="K1" s="240"/>
      <c r="L1" s="240"/>
      <c r="M1" s="240"/>
      <c r="N1" s="240"/>
      <c r="O1" s="239"/>
      <c r="P1" s="239"/>
      <c r="Q1" s="239"/>
      <c r="R1" s="239"/>
      <c r="S1" s="239"/>
      <c r="T1" s="239"/>
    </row>
    <row r="2" spans="1:27" ht="11.25" customHeight="1" x14ac:dyDescent="0.3">
      <c r="A2" s="241"/>
      <c r="B2" s="242"/>
      <c r="C2" s="242"/>
      <c r="D2" s="242"/>
      <c r="E2" s="242"/>
      <c r="F2" s="242"/>
      <c r="G2" s="242"/>
      <c r="H2" s="242"/>
      <c r="I2" s="243"/>
      <c r="O2" s="244"/>
      <c r="P2" s="244"/>
      <c r="Q2" s="244"/>
      <c r="R2" s="244"/>
      <c r="S2" s="245"/>
    </row>
    <row r="3" spans="1:27" ht="11.25" customHeight="1" x14ac:dyDescent="0.35">
      <c r="A3" s="246">
        <v>1</v>
      </c>
      <c r="B3" s="247" t="s">
        <v>3</v>
      </c>
      <c r="C3" s="248"/>
      <c r="D3" s="249" t="s">
        <v>111</v>
      </c>
      <c r="E3" s="249" t="s">
        <v>101</v>
      </c>
      <c r="F3" s="249" t="s">
        <v>37</v>
      </c>
      <c r="G3" s="250"/>
      <c r="H3" s="250"/>
      <c r="I3" s="243"/>
      <c r="K3" s="251" t="s">
        <v>4</v>
      </c>
    </row>
    <row r="4" spans="1:27" ht="11.25" customHeight="1" x14ac:dyDescent="0.3">
      <c r="A4" s="241"/>
      <c r="B4" s="242"/>
      <c r="C4" s="242"/>
      <c r="D4" s="252" t="s">
        <v>112</v>
      </c>
      <c r="E4" s="252" t="s">
        <v>113</v>
      </c>
      <c r="F4" s="242"/>
      <c r="G4" s="242"/>
      <c r="H4" s="242"/>
      <c r="I4" s="243"/>
      <c r="K4" s="253" t="s">
        <v>9</v>
      </c>
    </row>
    <row r="5" spans="1:27" ht="20.25" customHeight="1" x14ac:dyDescent="0.3">
      <c r="A5" s="241"/>
      <c r="B5" s="254" t="s">
        <v>114</v>
      </c>
      <c r="C5" s="242"/>
      <c r="D5" s="255"/>
      <c r="E5" s="256">
        <f>R55</f>
        <v>0</v>
      </c>
      <c r="F5" s="257"/>
      <c r="G5" s="242"/>
      <c r="H5" s="258"/>
      <c r="I5" s="243"/>
      <c r="K5" s="259"/>
    </row>
    <row r="6" spans="1:27" ht="20.25" customHeight="1" x14ac:dyDescent="0.3">
      <c r="A6" s="241"/>
      <c r="B6" s="254" t="s">
        <v>115</v>
      </c>
      <c r="C6" s="242"/>
      <c r="D6" s="260"/>
      <c r="E6" s="256">
        <f>S55</f>
        <v>0</v>
      </c>
      <c r="F6" s="257"/>
      <c r="G6" s="242"/>
      <c r="H6" s="261"/>
      <c r="I6" s="243"/>
      <c r="K6" s="259"/>
    </row>
    <row r="7" spans="1:27" ht="20.25" customHeight="1" x14ac:dyDescent="0.3">
      <c r="A7" s="262"/>
      <c r="B7" s="254" t="s">
        <v>116</v>
      </c>
      <c r="C7" s="239"/>
      <c r="D7" s="263">
        <v>0</v>
      </c>
      <c r="E7" s="256">
        <f>T55</f>
        <v>0</v>
      </c>
      <c r="F7" s="239"/>
      <c r="G7" s="239"/>
      <c r="H7" s="261"/>
      <c r="K7" s="259"/>
    </row>
    <row r="8" spans="1:27" ht="20.25" customHeight="1" x14ac:dyDescent="0.3">
      <c r="A8" s="241"/>
      <c r="B8" s="254" t="s">
        <v>117</v>
      </c>
      <c r="C8" s="242"/>
      <c r="D8" s="264">
        <v>0</v>
      </c>
      <c r="E8" s="256">
        <f>U55</f>
        <v>0</v>
      </c>
      <c r="F8" s="242"/>
      <c r="G8" s="242"/>
      <c r="H8" s="258"/>
      <c r="I8" s="243"/>
      <c r="K8" s="259"/>
    </row>
    <row r="9" spans="1:27" ht="20.25" customHeight="1" x14ac:dyDescent="0.3">
      <c r="A9" s="241"/>
      <c r="B9" s="265" t="s">
        <v>118</v>
      </c>
      <c r="C9" s="239"/>
      <c r="D9" s="266">
        <v>0</v>
      </c>
      <c r="E9" s="256">
        <f>$D9*(1-$R$11)</f>
        <v>0</v>
      </c>
      <c r="F9" s="242"/>
      <c r="G9" s="242"/>
      <c r="H9" s="242"/>
      <c r="I9" s="243"/>
    </row>
    <row r="10" spans="1:27" ht="20.25" customHeight="1" x14ac:dyDescent="0.3">
      <c r="A10" s="241"/>
      <c r="B10" s="265" t="s">
        <v>119</v>
      </c>
      <c r="C10" s="242"/>
      <c r="D10" s="267">
        <v>0</v>
      </c>
      <c r="E10" s="256">
        <f>$D10*(1-$R$12)</f>
        <v>0</v>
      </c>
      <c r="F10" s="252"/>
      <c r="G10" s="242"/>
      <c r="H10" s="242"/>
      <c r="I10" s="243"/>
      <c r="O10" s="244"/>
      <c r="P10" s="244"/>
      <c r="Q10" s="268"/>
      <c r="R10" s="244"/>
      <c r="S10" s="269"/>
    </row>
    <row r="11" spans="1:27" ht="20.25" customHeight="1" x14ac:dyDescent="0.3">
      <c r="A11" s="241"/>
      <c r="B11" s="270" t="s">
        <v>120</v>
      </c>
      <c r="C11" s="242"/>
      <c r="D11" s="411">
        <f>SUM(E5:E10)</f>
        <v>0</v>
      </c>
      <c r="E11" s="407"/>
      <c r="F11" s="271" t="e">
        <f>D11/$U$7</f>
        <v>#DIV/0!</v>
      </c>
      <c r="G11" s="242"/>
      <c r="H11" s="242"/>
      <c r="I11" s="243"/>
      <c r="O11" s="244" t="s">
        <v>121</v>
      </c>
      <c r="P11" s="244"/>
      <c r="Q11" s="244"/>
      <c r="R11" s="272">
        <v>0.2</v>
      </c>
    </row>
    <row r="12" spans="1:27" ht="20.25" customHeight="1" x14ac:dyDescent="0.3">
      <c r="A12" s="241"/>
      <c r="B12" s="254" t="s">
        <v>122</v>
      </c>
      <c r="C12" s="242"/>
      <c r="D12" s="273"/>
      <c r="E12" s="274"/>
      <c r="F12" s="275">
        <f>COUNTIFS($D$5:$D$8,"&gt;0")</f>
        <v>0</v>
      </c>
      <c r="G12" s="242"/>
      <c r="H12" s="242"/>
      <c r="I12" s="243"/>
      <c r="O12" s="244" t="s">
        <v>33</v>
      </c>
      <c r="P12" s="244"/>
      <c r="Q12" s="244"/>
      <c r="R12" s="276">
        <v>0</v>
      </c>
      <c r="S12" s="259"/>
      <c r="U12" s="269"/>
    </row>
    <row r="13" spans="1:27" ht="11.25" customHeight="1" x14ac:dyDescent="0.3">
      <c r="A13" s="241"/>
      <c r="B13" s="242"/>
      <c r="C13" s="242"/>
      <c r="D13" s="239"/>
      <c r="E13" s="252"/>
      <c r="F13" s="242"/>
      <c r="G13" s="242"/>
      <c r="H13" s="242"/>
      <c r="I13" s="243"/>
      <c r="O13" s="244" t="s">
        <v>34</v>
      </c>
      <c r="P13" s="244"/>
      <c r="Q13" s="244"/>
      <c r="R13" s="277">
        <v>0.03</v>
      </c>
      <c r="S13" s="259"/>
      <c r="U13" s="245"/>
    </row>
    <row r="14" spans="1:27" ht="11.25" customHeight="1" x14ac:dyDescent="0.35">
      <c r="A14" s="246">
        <f>A3+1</f>
        <v>2</v>
      </c>
      <c r="B14" s="247" t="s">
        <v>36</v>
      </c>
      <c r="C14" s="248"/>
      <c r="D14" s="248"/>
      <c r="E14" s="248"/>
      <c r="F14" s="278" t="s">
        <v>37</v>
      </c>
      <c r="G14" s="250"/>
      <c r="H14" s="250"/>
      <c r="I14" s="243"/>
      <c r="O14" s="244"/>
      <c r="P14" s="244"/>
      <c r="Q14" s="244"/>
      <c r="R14" s="244"/>
      <c r="S14" s="259"/>
      <c r="W14" s="412"/>
      <c r="X14" s="396"/>
      <c r="Y14" s="396"/>
    </row>
    <row r="15" spans="1:27" ht="11.25" customHeight="1" x14ac:dyDescent="0.3">
      <c r="A15" s="241"/>
      <c r="B15" s="242"/>
      <c r="C15" s="242"/>
      <c r="D15" s="252"/>
      <c r="E15" s="252"/>
      <c r="F15" s="242"/>
      <c r="G15" s="242"/>
      <c r="H15" s="242"/>
      <c r="I15" s="243"/>
      <c r="O15" s="244"/>
      <c r="P15" s="244"/>
      <c r="Q15" s="244"/>
      <c r="R15" s="279"/>
      <c r="S15" s="280"/>
    </row>
    <row r="16" spans="1:27" ht="20.25" customHeight="1" x14ac:dyDescent="0.3">
      <c r="A16" s="241"/>
      <c r="B16" s="257" t="s">
        <v>123</v>
      </c>
      <c r="C16" s="242"/>
      <c r="D16" s="252"/>
      <c r="E16" s="252"/>
      <c r="F16" s="257"/>
      <c r="G16" s="242"/>
      <c r="H16" s="242"/>
      <c r="I16" s="243"/>
      <c r="O16" s="244"/>
      <c r="P16" s="244"/>
      <c r="Q16" s="281" t="s">
        <v>10</v>
      </c>
      <c r="R16" s="282" t="s">
        <v>11</v>
      </c>
      <c r="S16" s="283" t="s">
        <v>12</v>
      </c>
      <c r="W16" s="284" t="s">
        <v>18</v>
      </c>
      <c r="X16" s="285">
        <v>13800</v>
      </c>
      <c r="Y16" s="286"/>
      <c r="AA16" s="245"/>
    </row>
    <row r="17" spans="1:27" ht="20.25" customHeight="1" x14ac:dyDescent="0.3">
      <c r="A17" s="241"/>
      <c r="B17" s="257" t="s">
        <v>10</v>
      </c>
      <c r="C17" s="242"/>
      <c r="D17" s="285" t="s">
        <v>15</v>
      </c>
      <c r="E17" s="287"/>
      <c r="F17" s="242"/>
      <c r="G17" s="242"/>
      <c r="H17" s="242"/>
      <c r="I17" s="243"/>
      <c r="O17" s="244"/>
      <c r="P17" s="244"/>
      <c r="Q17" s="288" t="s">
        <v>15</v>
      </c>
      <c r="R17" s="289">
        <v>1800</v>
      </c>
      <c r="S17" s="290">
        <v>380</v>
      </c>
      <c r="T17" s="273"/>
      <c r="U17" s="273"/>
      <c r="W17" s="284" t="s">
        <v>15</v>
      </c>
      <c r="X17" s="285">
        <v>19613</v>
      </c>
      <c r="Y17" s="286"/>
      <c r="AA17" s="245"/>
    </row>
    <row r="18" spans="1:27" ht="20.25" customHeight="1" x14ac:dyDescent="0.3">
      <c r="A18" s="241"/>
      <c r="B18" s="257" t="s">
        <v>124</v>
      </c>
      <c r="C18" s="242"/>
      <c r="D18" s="291">
        <v>2</v>
      </c>
      <c r="E18" s="287"/>
      <c r="F18" s="242"/>
      <c r="G18" s="242"/>
      <c r="H18" s="242"/>
      <c r="I18" s="243"/>
      <c r="O18" s="244"/>
      <c r="P18" s="244"/>
      <c r="Q18" s="292" t="s">
        <v>18</v>
      </c>
      <c r="R18" s="289">
        <v>1200</v>
      </c>
      <c r="S18" s="290">
        <f t="shared" ref="S18:S21" si="0">S17</f>
        <v>380</v>
      </c>
      <c r="T18" s="273"/>
      <c r="U18" s="273"/>
      <c r="W18" s="284" t="s">
        <v>12</v>
      </c>
      <c r="X18" s="285">
        <v>3209</v>
      </c>
      <c r="Y18" s="286"/>
      <c r="AA18" s="245"/>
    </row>
    <row r="19" spans="1:27" ht="20.25" customHeight="1" x14ac:dyDescent="0.3">
      <c r="A19" s="241"/>
      <c r="B19" s="293" t="s">
        <v>125</v>
      </c>
      <c r="C19" s="239"/>
      <c r="D19" s="285">
        <v>0</v>
      </c>
      <c r="E19" s="239"/>
      <c r="F19" s="239"/>
      <c r="G19" s="242"/>
      <c r="H19" s="252"/>
      <c r="I19" s="243"/>
      <c r="O19" s="244"/>
      <c r="P19" s="244"/>
      <c r="Q19" s="292" t="s">
        <v>21</v>
      </c>
      <c r="R19" s="289">
        <f t="shared" ref="R19:R20" si="1">R17</f>
        <v>1800</v>
      </c>
      <c r="S19" s="290">
        <f t="shared" si="0"/>
        <v>380</v>
      </c>
      <c r="T19" s="273"/>
      <c r="U19" s="273"/>
      <c r="X19" s="285"/>
      <c r="Y19" s="286"/>
      <c r="AA19" s="245"/>
    </row>
    <row r="20" spans="1:27" ht="20.25" customHeight="1" x14ac:dyDescent="0.3">
      <c r="A20" s="241"/>
      <c r="B20" s="257" t="s">
        <v>126</v>
      </c>
      <c r="C20" s="242"/>
      <c r="D20" s="294">
        <v>0</v>
      </c>
      <c r="E20" s="242"/>
      <c r="F20" s="271">
        <f ca="1">IF($D$20&gt;$R$23,$D$20,$R$23)</f>
        <v>2560</v>
      </c>
      <c r="G20" s="242"/>
      <c r="H20" s="242"/>
      <c r="I20" s="243"/>
      <c r="O20" s="244"/>
      <c r="P20" s="244"/>
      <c r="Q20" s="292" t="s">
        <v>26</v>
      </c>
      <c r="R20" s="289">
        <f t="shared" si="1"/>
        <v>1200</v>
      </c>
      <c r="S20" s="290">
        <f t="shared" si="0"/>
        <v>380</v>
      </c>
      <c r="T20" s="273"/>
      <c r="U20" s="273"/>
    </row>
    <row r="21" spans="1:27" ht="11.25" customHeight="1" x14ac:dyDescent="0.3">
      <c r="A21" s="241"/>
      <c r="B21" s="257"/>
      <c r="C21" s="242"/>
      <c r="D21" s="242"/>
      <c r="E21" s="242"/>
      <c r="F21" s="242"/>
      <c r="G21" s="242"/>
      <c r="H21" s="242"/>
      <c r="I21" s="243"/>
      <c r="O21" s="244"/>
      <c r="P21" s="244"/>
      <c r="Q21" s="295" t="s">
        <v>29</v>
      </c>
      <c r="R21" s="296">
        <f>R18</f>
        <v>1200</v>
      </c>
      <c r="S21" s="290">
        <f t="shared" si="0"/>
        <v>380</v>
      </c>
      <c r="T21" s="273"/>
      <c r="U21" s="273"/>
    </row>
    <row r="22" spans="1:27" ht="11.25" customHeight="1" x14ac:dyDescent="0.3">
      <c r="A22" s="241"/>
      <c r="B22" s="257"/>
      <c r="C22" s="242"/>
      <c r="D22" s="252" t="s">
        <v>37</v>
      </c>
      <c r="E22" s="252"/>
      <c r="F22" s="242"/>
      <c r="G22" s="242"/>
      <c r="H22" s="242"/>
      <c r="I22" s="243"/>
      <c r="O22" s="244"/>
      <c r="P22" s="244"/>
      <c r="Q22" s="244"/>
      <c r="R22" s="244"/>
      <c r="T22" s="273"/>
      <c r="U22" s="273"/>
      <c r="X22" s="285"/>
      <c r="Y22" s="286"/>
    </row>
    <row r="23" spans="1:27" ht="20.25" customHeight="1" x14ac:dyDescent="0.3">
      <c r="A23" s="241"/>
      <c r="B23" s="257" t="s">
        <v>127</v>
      </c>
      <c r="C23" s="242"/>
      <c r="D23" s="285"/>
      <c r="E23" s="287"/>
      <c r="F23" s="271">
        <f>$D$23</f>
        <v>0</v>
      </c>
      <c r="G23" s="242"/>
      <c r="H23" s="242"/>
      <c r="I23" s="243"/>
      <c r="J23" s="297"/>
      <c r="K23" s="245"/>
      <c r="L23" s="245"/>
      <c r="O23" s="244"/>
      <c r="P23" s="298"/>
      <c r="Q23" s="299" t="s">
        <v>35</v>
      </c>
      <c r="R23" s="300">
        <f ca="1">OFFSET($R$16,MATCH($D$17,$Q$17:$Q$21,0),0)+IF($D$18=0,0,OFFSET($S$16,MATCH($D$17,$Q$17:$Q$21,0),0))*$D$18+IF($F$12&lt;=2,0,$D$19)</f>
        <v>2560</v>
      </c>
      <c r="S23" s="273"/>
      <c r="T23" s="273"/>
      <c r="U23" s="273"/>
      <c r="X23" s="285"/>
      <c r="Y23" s="286"/>
    </row>
    <row r="24" spans="1:27" ht="11.25" customHeight="1" x14ac:dyDescent="0.3">
      <c r="A24" s="241"/>
      <c r="B24" s="257"/>
      <c r="C24" s="242"/>
      <c r="D24" s="243"/>
      <c r="E24" s="242"/>
      <c r="F24" s="242"/>
      <c r="G24" s="242"/>
      <c r="H24" s="242"/>
      <c r="I24" s="243"/>
      <c r="O24" s="244"/>
      <c r="P24" s="244"/>
      <c r="Q24" s="244"/>
      <c r="R24" s="244"/>
      <c r="S24" s="273"/>
      <c r="T24" s="273"/>
      <c r="U24" s="273"/>
      <c r="X24" s="285"/>
      <c r="Y24" s="286"/>
    </row>
    <row r="25" spans="1:27" ht="20.25" customHeight="1" x14ac:dyDescent="0.3">
      <c r="A25" s="241"/>
      <c r="B25" s="257" t="s">
        <v>128</v>
      </c>
      <c r="C25" s="242"/>
      <c r="D25" s="285"/>
      <c r="E25" s="287"/>
      <c r="F25" s="242"/>
      <c r="G25" s="242"/>
      <c r="H25" s="242"/>
      <c r="I25" s="243"/>
      <c r="O25" s="244"/>
      <c r="P25" s="244"/>
      <c r="Q25" s="244"/>
      <c r="R25" s="244"/>
      <c r="S25" s="273"/>
      <c r="T25" s="273"/>
      <c r="U25" s="273"/>
      <c r="X25" s="285"/>
      <c r="Y25" s="286"/>
    </row>
    <row r="26" spans="1:27" ht="20.25" customHeight="1" x14ac:dyDescent="0.3">
      <c r="A26" s="241"/>
      <c r="B26" s="257" t="s">
        <v>129</v>
      </c>
      <c r="C26" s="242"/>
      <c r="D26" s="242"/>
      <c r="E26" s="242"/>
      <c r="F26" s="271">
        <f>$D25*$R$13</f>
        <v>0</v>
      </c>
      <c r="G26" s="242"/>
      <c r="H26" s="242"/>
      <c r="I26" s="243"/>
      <c r="O26" s="244"/>
      <c r="P26" s="244"/>
      <c r="Q26" s="273"/>
      <c r="R26" s="244"/>
      <c r="S26" s="244"/>
      <c r="T26" s="244"/>
      <c r="U26" s="273"/>
    </row>
    <row r="27" spans="1:27" ht="11.25" customHeight="1" x14ac:dyDescent="0.3">
      <c r="A27" s="241"/>
      <c r="B27" s="242"/>
      <c r="C27" s="242"/>
      <c r="D27" s="252"/>
      <c r="E27" s="252"/>
      <c r="F27" s="243"/>
      <c r="G27" s="242"/>
      <c r="H27" s="242"/>
      <c r="I27" s="243"/>
      <c r="O27" s="244"/>
      <c r="P27" s="244"/>
      <c r="Q27" s="244"/>
      <c r="R27" s="244"/>
      <c r="S27" s="244"/>
      <c r="T27" s="244"/>
      <c r="U27" s="273"/>
    </row>
    <row r="28" spans="1:27" ht="11.25" customHeight="1" x14ac:dyDescent="0.35">
      <c r="A28" s="246">
        <f>A14+1</f>
        <v>3</v>
      </c>
      <c r="B28" s="247" t="s">
        <v>75</v>
      </c>
      <c r="C28" s="248"/>
      <c r="D28" s="248"/>
      <c r="E28" s="248"/>
      <c r="F28" s="278" t="s">
        <v>130</v>
      </c>
      <c r="G28" s="250"/>
      <c r="H28" s="250"/>
      <c r="I28" s="243"/>
      <c r="O28" s="244"/>
      <c r="P28" s="244"/>
      <c r="Q28" s="244"/>
      <c r="R28" s="244"/>
      <c r="S28" s="244"/>
      <c r="T28" s="244"/>
      <c r="U28" s="273"/>
      <c r="X28" s="301"/>
      <c r="Y28" s="286"/>
    </row>
    <row r="29" spans="1:27" ht="11.25" customHeight="1" x14ac:dyDescent="0.3">
      <c r="A29" s="241"/>
      <c r="B29" s="242"/>
      <c r="C29" s="242"/>
      <c r="D29" s="252"/>
      <c r="E29" s="252"/>
      <c r="F29" s="242"/>
      <c r="G29" s="242"/>
      <c r="H29" s="242"/>
      <c r="I29" s="243"/>
      <c r="O29" s="244"/>
      <c r="P29" s="302"/>
      <c r="Q29" s="244"/>
      <c r="R29" s="244"/>
      <c r="S29" s="244"/>
      <c r="T29" s="244"/>
      <c r="U29" s="273"/>
    </row>
    <row r="30" spans="1:27" ht="20.25" customHeight="1" x14ac:dyDescent="0.3">
      <c r="A30" s="241"/>
      <c r="B30" s="242"/>
      <c r="C30" s="242"/>
      <c r="D30" s="252"/>
      <c r="E30" s="252"/>
      <c r="F30" s="303" t="str">
        <f ca="1">IFERROR(F11-F20-F23-F26,"data missing")</f>
        <v>data missing</v>
      </c>
      <c r="G30" s="242"/>
      <c r="H30" s="242"/>
      <c r="I30" s="243"/>
      <c r="N30" s="244"/>
      <c r="O30" s="244"/>
      <c r="P30" s="244"/>
      <c r="Q30" s="244"/>
      <c r="R30" s="244"/>
      <c r="S30" s="244"/>
      <c r="T30" s="244"/>
      <c r="U30" s="273"/>
    </row>
    <row r="31" spans="1:27" ht="11.25" customHeight="1" x14ac:dyDescent="0.3">
      <c r="A31" s="241"/>
      <c r="B31" s="242"/>
      <c r="C31" s="242"/>
      <c r="D31" s="252"/>
      <c r="E31" s="252"/>
      <c r="F31" s="242"/>
      <c r="G31" s="242"/>
      <c r="H31" s="242"/>
      <c r="I31" s="243"/>
      <c r="N31" s="244"/>
      <c r="O31" s="244"/>
      <c r="P31" s="244"/>
      <c r="Q31" s="244"/>
      <c r="R31" s="244"/>
      <c r="S31" s="244"/>
      <c r="T31" s="244"/>
      <c r="W31" s="297"/>
      <c r="X31" s="297"/>
    </row>
    <row r="32" spans="1:27" ht="11.25" customHeight="1" x14ac:dyDescent="0.35">
      <c r="A32" s="246">
        <f>A28+1</f>
        <v>4</v>
      </c>
      <c r="B32" s="247" t="s">
        <v>76</v>
      </c>
      <c r="C32" s="248"/>
      <c r="D32" s="249"/>
      <c r="E32" s="249" t="s">
        <v>131</v>
      </c>
      <c r="F32" s="249" t="s">
        <v>130</v>
      </c>
      <c r="G32" s="250"/>
      <c r="H32" s="250"/>
      <c r="I32" s="243"/>
      <c r="N32" s="244"/>
      <c r="O32" s="244"/>
      <c r="P32" s="244"/>
      <c r="Q32" s="244"/>
      <c r="R32" s="244"/>
      <c r="S32" s="244"/>
      <c r="T32" s="244"/>
      <c r="U32" s="273"/>
      <c r="V32" s="304"/>
      <c r="W32" s="304"/>
    </row>
    <row r="33" spans="1:23" ht="11.25" customHeight="1" x14ac:dyDescent="0.3">
      <c r="A33" s="241"/>
      <c r="B33" s="242"/>
      <c r="C33" s="242"/>
      <c r="D33" s="252"/>
      <c r="E33" s="252"/>
      <c r="F33" s="242"/>
      <c r="G33" s="242"/>
      <c r="H33" s="242"/>
      <c r="I33" s="243"/>
      <c r="N33" s="244"/>
      <c r="O33" s="244"/>
      <c r="P33" s="244"/>
      <c r="Q33" s="244"/>
      <c r="R33" s="244"/>
      <c r="S33" s="244"/>
      <c r="T33" s="244"/>
      <c r="U33" s="273"/>
      <c r="V33" s="304"/>
      <c r="W33" s="304"/>
    </row>
    <row r="34" spans="1:23" ht="20.25" customHeight="1" x14ac:dyDescent="0.3">
      <c r="A34" s="241"/>
      <c r="B34" s="254" t="s">
        <v>132</v>
      </c>
      <c r="C34" s="242"/>
      <c r="D34" s="305" t="s">
        <v>80</v>
      </c>
      <c r="E34" s="287"/>
      <c r="F34" s="242"/>
      <c r="G34" s="243"/>
      <c r="H34" s="243"/>
      <c r="I34" s="243"/>
      <c r="N34" s="244"/>
      <c r="O34" s="244"/>
      <c r="P34" s="244"/>
      <c r="Q34" s="244"/>
      <c r="R34" s="244"/>
      <c r="S34" s="244"/>
      <c r="T34" s="244"/>
      <c r="U34" s="273"/>
      <c r="V34" s="304"/>
      <c r="W34" s="304"/>
    </row>
    <row r="35" spans="1:23" ht="20.25" customHeight="1" x14ac:dyDescent="0.3">
      <c r="A35" s="239"/>
      <c r="B35" s="265" t="s">
        <v>133</v>
      </c>
      <c r="C35" s="239"/>
      <c r="D35" s="306">
        <v>0</v>
      </c>
      <c r="E35" s="239"/>
      <c r="F35" s="239"/>
      <c r="I35" s="243"/>
      <c r="N35" s="244"/>
      <c r="O35" s="244"/>
      <c r="P35" s="244"/>
      <c r="Q35" s="244"/>
      <c r="R35" s="244"/>
      <c r="S35" s="244"/>
      <c r="T35" s="244"/>
      <c r="U35" s="273"/>
      <c r="V35" s="304"/>
      <c r="W35" s="304"/>
    </row>
    <row r="36" spans="1:23" ht="20.25" customHeight="1" x14ac:dyDescent="0.3">
      <c r="A36" s="241"/>
      <c r="B36" s="254" t="s">
        <v>134</v>
      </c>
      <c r="C36" s="242"/>
      <c r="D36" s="307"/>
      <c r="E36" s="287"/>
      <c r="F36" s="241"/>
      <c r="G36" s="243"/>
      <c r="H36" s="243"/>
      <c r="I36" s="243"/>
      <c r="N36" s="244"/>
      <c r="O36" s="244"/>
      <c r="P36" s="244"/>
      <c r="Q36" s="244"/>
      <c r="R36" s="244"/>
      <c r="S36" s="244"/>
      <c r="T36" s="244"/>
      <c r="U36" s="273"/>
      <c r="V36" s="304"/>
      <c r="W36" s="304"/>
    </row>
    <row r="37" spans="1:23" ht="11.25" customHeight="1" x14ac:dyDescent="0.3">
      <c r="A37" s="241"/>
      <c r="B37" s="254"/>
      <c r="C37" s="242"/>
      <c r="D37" s="243"/>
      <c r="E37" s="239"/>
      <c r="F37" s="241"/>
      <c r="G37" s="243"/>
      <c r="H37" s="243"/>
      <c r="I37" s="243"/>
      <c r="N37" s="244"/>
      <c r="O37" s="244"/>
      <c r="P37" s="308"/>
      <c r="Q37" s="413" t="s">
        <v>135</v>
      </c>
      <c r="R37" s="414"/>
      <c r="S37" s="407"/>
      <c r="T37" s="309"/>
      <c r="U37" s="310">
        <v>7.0000000000000007E-2</v>
      </c>
    </row>
    <row r="38" spans="1:23" ht="20.25" customHeight="1" x14ac:dyDescent="0.3">
      <c r="A38" s="241"/>
      <c r="B38" s="254" t="s">
        <v>136</v>
      </c>
      <c r="C38" s="242"/>
      <c r="D38" s="311"/>
      <c r="E38" s="287"/>
      <c r="F38" s="312" t="str">
        <f>IF(D38*$U$7=0,"loan term missing",D38*$U$7)</f>
        <v>loan term missing</v>
      </c>
      <c r="G38" s="243"/>
      <c r="H38" s="243"/>
      <c r="I38" s="243"/>
      <c r="N38" s="244"/>
      <c r="O38" s="244"/>
      <c r="P38" s="308"/>
      <c r="Q38" s="313" t="s">
        <v>137</v>
      </c>
      <c r="R38" s="314" t="s">
        <v>138</v>
      </c>
      <c r="S38" s="315" t="s">
        <v>139</v>
      </c>
      <c r="T38" s="250"/>
      <c r="U38" s="308"/>
    </row>
    <row r="39" spans="1:23" ht="20.25" customHeight="1" x14ac:dyDescent="0.3">
      <c r="A39" s="241"/>
      <c r="B39" s="254" t="s">
        <v>140</v>
      </c>
      <c r="C39" s="242"/>
      <c r="D39" s="316"/>
      <c r="E39" s="287"/>
      <c r="F39" s="317" t="e">
        <f>IF(D39/$U$7=0,"loan rate missing",D39/$U$7)</f>
        <v>#DIV/0!</v>
      </c>
      <c r="G39" s="243"/>
      <c r="H39" s="243"/>
      <c r="I39" s="243"/>
      <c r="N39" s="244"/>
      <c r="O39" s="244"/>
      <c r="P39" s="308"/>
      <c r="Q39" s="318">
        <v>0</v>
      </c>
      <c r="R39" s="319">
        <v>0</v>
      </c>
      <c r="S39" s="320">
        <v>0.105</v>
      </c>
      <c r="T39" s="239"/>
      <c r="U39" s="321"/>
    </row>
    <row r="40" spans="1:23" ht="11.25" customHeight="1" x14ac:dyDescent="0.3">
      <c r="A40" s="241"/>
      <c r="B40" s="254"/>
      <c r="C40" s="242"/>
      <c r="D40" s="242"/>
      <c r="E40" s="242"/>
      <c r="F40" s="242"/>
      <c r="G40" s="243"/>
      <c r="H40" s="243"/>
      <c r="I40" s="243"/>
      <c r="K40" s="322"/>
      <c r="N40" s="244"/>
      <c r="O40" s="244"/>
      <c r="P40" s="308"/>
      <c r="Q40" s="323">
        <v>14000</v>
      </c>
      <c r="R40" s="324">
        <f t="shared" ref="R40:R43" si="2">R39+S39*(Q40-Q39)</f>
        <v>1470</v>
      </c>
      <c r="S40" s="325">
        <v>0.17499999999999999</v>
      </c>
      <c r="T40" s="239"/>
      <c r="U40" s="321"/>
    </row>
    <row r="41" spans="1:23" ht="20.25" customHeight="1" x14ac:dyDescent="0.3">
      <c r="A41" s="241"/>
      <c r="B41" s="254" t="s">
        <v>103</v>
      </c>
      <c r="C41" s="239"/>
      <c r="D41" s="239"/>
      <c r="E41" s="239"/>
      <c r="F41" s="239"/>
      <c r="G41" s="243"/>
      <c r="H41" s="243"/>
      <c r="I41" s="243"/>
      <c r="N41" s="244"/>
      <c r="O41" s="244"/>
      <c r="P41" s="308"/>
      <c r="Q41" s="323">
        <v>48000</v>
      </c>
      <c r="R41" s="324">
        <f t="shared" si="2"/>
        <v>7420</v>
      </c>
      <c r="S41" s="325">
        <v>0.3</v>
      </c>
      <c r="T41" s="239"/>
      <c r="U41" s="321"/>
    </row>
    <row r="42" spans="1:23" ht="11.25" customHeight="1" x14ac:dyDescent="0.3">
      <c r="A42" s="241"/>
      <c r="B42" s="254" t="str">
        <f>IF($D$34="Interest Only","during IO period","")</f>
        <v/>
      </c>
      <c r="C42" s="239"/>
      <c r="D42" s="239"/>
      <c r="E42" s="239"/>
      <c r="F42" s="252" t="str">
        <f>IF($D$34="Interest Only",$D$36*F$39,"")</f>
        <v/>
      </c>
      <c r="G42" s="243"/>
      <c r="H42" s="326"/>
      <c r="I42" s="243"/>
      <c r="N42" s="244"/>
      <c r="O42" s="244"/>
      <c r="P42" s="308"/>
      <c r="Q42" s="323">
        <v>70000</v>
      </c>
      <c r="R42" s="324">
        <f t="shared" si="2"/>
        <v>14020</v>
      </c>
      <c r="S42" s="325">
        <v>0.33</v>
      </c>
      <c r="T42" s="239"/>
      <c r="U42" s="321"/>
    </row>
    <row r="43" spans="1:23" ht="20.25" customHeight="1" x14ac:dyDescent="0.3">
      <c r="A43" s="241"/>
      <c r="B43" s="254" t="str">
        <f>IF($D$34="Interest Only","post IO period ","installment")</f>
        <v>installment</v>
      </c>
      <c r="C43" s="239"/>
      <c r="D43" s="239"/>
      <c r="E43" s="239"/>
      <c r="F43" s="271" t="str">
        <f>IF(OR(ISTEXT($F$39),ISTEXT($F$38)),"loan data missing",PMT($F$39,$F$38-IF($D$34="Principal and Interest",0,$D$35*$U$7),-$D$36))</f>
        <v>loan data missing</v>
      </c>
      <c r="G43" s="243"/>
      <c r="H43" s="326"/>
      <c r="I43" s="243"/>
      <c r="N43" s="244"/>
      <c r="O43" s="244"/>
      <c r="P43" s="327"/>
      <c r="Q43" s="328">
        <v>180000</v>
      </c>
      <c r="R43" s="329">
        <f t="shared" si="2"/>
        <v>50320</v>
      </c>
      <c r="S43" s="330">
        <v>0.39</v>
      </c>
      <c r="T43" s="239"/>
      <c r="U43" s="321"/>
    </row>
    <row r="44" spans="1:23" ht="11.25" customHeight="1" x14ac:dyDescent="0.3">
      <c r="A44" s="241"/>
      <c r="B44" s="254"/>
      <c r="C44" s="239"/>
      <c r="D44" s="239"/>
      <c r="E44" s="239"/>
      <c r="F44" s="239"/>
      <c r="G44" s="243"/>
      <c r="H44" s="326"/>
      <c r="I44" s="243"/>
      <c r="O44" s="244"/>
      <c r="P44" s="331"/>
      <c r="Q44" s="332"/>
      <c r="R44" s="331"/>
      <c r="S44" s="333"/>
      <c r="T44" s="250"/>
      <c r="U44" s="308"/>
    </row>
    <row r="45" spans="1:23" ht="11.25" customHeight="1" x14ac:dyDescent="0.3">
      <c r="A45" s="241"/>
      <c r="B45" s="257"/>
      <c r="C45" s="242"/>
      <c r="D45" s="242"/>
      <c r="E45" s="242"/>
      <c r="F45" s="242"/>
      <c r="G45" s="334"/>
      <c r="H45" s="335"/>
      <c r="I45" s="243"/>
      <c r="O45" s="244"/>
      <c r="P45" s="336"/>
      <c r="Q45" s="337"/>
      <c r="R45" s="338" t="s">
        <v>47</v>
      </c>
      <c r="S45" s="339" t="s">
        <v>49</v>
      </c>
      <c r="T45" s="340" t="s">
        <v>51</v>
      </c>
      <c r="U45" s="340" t="s">
        <v>53</v>
      </c>
    </row>
    <row r="46" spans="1:23" ht="11.25" customHeight="1" x14ac:dyDescent="0.35">
      <c r="A46" s="246">
        <f>A32+1</f>
        <v>5</v>
      </c>
      <c r="B46" s="247" t="s">
        <v>100</v>
      </c>
      <c r="C46" s="248"/>
      <c r="D46" s="248"/>
      <c r="E46" s="248"/>
      <c r="F46" s="278" t="s">
        <v>130</v>
      </c>
      <c r="G46" s="248"/>
      <c r="H46" s="248" t="s">
        <v>141</v>
      </c>
      <c r="I46" s="243"/>
      <c r="O46" s="244"/>
      <c r="P46" s="341"/>
      <c r="Q46" s="342" t="s">
        <v>142</v>
      </c>
      <c r="R46" s="343">
        <f>'SERVICEABILITY CALCULATOR'!E9</f>
        <v>0</v>
      </c>
      <c r="S46" s="344">
        <f>'SERVICEABILITY CALCULATOR'!F9</f>
        <v>0</v>
      </c>
      <c r="T46" s="344">
        <f>'SERVICEABILITY CALCULATOR'!G9</f>
        <v>0</v>
      </c>
      <c r="U46" s="344">
        <f>'SERVICEABILITY CALCULATOR'!H9</f>
        <v>0</v>
      </c>
    </row>
    <row r="47" spans="1:23" ht="11.25" customHeight="1" x14ac:dyDescent="0.3">
      <c r="A47" s="242"/>
      <c r="B47" s="242"/>
      <c r="C47" s="242"/>
      <c r="D47" s="242"/>
      <c r="E47" s="242"/>
      <c r="F47" s="242"/>
      <c r="G47" s="334"/>
      <c r="H47" s="334"/>
      <c r="I47" s="243"/>
      <c r="O47" s="244"/>
      <c r="P47" s="345"/>
      <c r="Q47" s="346"/>
      <c r="R47" s="309"/>
      <c r="S47" s="309"/>
      <c r="T47" s="309"/>
      <c r="U47" s="331"/>
    </row>
    <row r="48" spans="1:23" ht="20.25" customHeight="1" x14ac:dyDescent="0.3">
      <c r="A48" s="242"/>
      <c r="B48" s="254" t="s">
        <v>102</v>
      </c>
      <c r="C48" s="254"/>
      <c r="D48" s="242"/>
      <c r="E48" s="347" t="str">
        <f>IF(D39=0,"no loan rate entered",D39+2%)</f>
        <v>no loan rate entered</v>
      </c>
      <c r="F48" s="348" t="str">
        <f>IFERROR(E48/$U$7,"loan rate missing")</f>
        <v>loan rate missing</v>
      </c>
      <c r="G48" s="334"/>
      <c r="H48" s="334"/>
      <c r="I48" s="243"/>
      <c r="O48" s="244"/>
      <c r="P48" s="349"/>
      <c r="Q48" s="350" t="s">
        <v>137</v>
      </c>
      <c r="R48" s="351">
        <f t="shared" ref="R48:U48" si="3">VLOOKUP(R46,$Q$39:$S$43,1)</f>
        <v>0</v>
      </c>
      <c r="S48" s="351">
        <f t="shared" si="3"/>
        <v>0</v>
      </c>
      <c r="T48" s="351">
        <f t="shared" si="3"/>
        <v>0</v>
      </c>
      <c r="U48" s="351">
        <f t="shared" si="3"/>
        <v>0</v>
      </c>
    </row>
    <row r="49" spans="1:21" ht="20.25" customHeight="1" x14ac:dyDescent="0.3">
      <c r="A49" s="242"/>
      <c r="B49" s="254" t="s">
        <v>103</v>
      </c>
      <c r="C49" s="352"/>
      <c r="D49" s="239"/>
      <c r="E49" s="239"/>
      <c r="F49" s="239"/>
      <c r="H49" s="334"/>
      <c r="I49" s="243"/>
      <c r="O49" s="244"/>
      <c r="P49" s="353"/>
      <c r="Q49" s="353" t="s">
        <v>143</v>
      </c>
      <c r="R49" s="351">
        <f t="shared" ref="R49:U49" si="4">VLOOKUP(R46,$Q$39:$S$43,2)</f>
        <v>0</v>
      </c>
      <c r="S49" s="351">
        <f t="shared" si="4"/>
        <v>0</v>
      </c>
      <c r="T49" s="351">
        <f t="shared" si="4"/>
        <v>0</v>
      </c>
      <c r="U49" s="351">
        <f t="shared" si="4"/>
        <v>0</v>
      </c>
    </row>
    <row r="50" spans="1:21" ht="20.25" customHeight="1" x14ac:dyDescent="0.3">
      <c r="A50" s="242"/>
      <c r="B50" s="254" t="s">
        <v>104</v>
      </c>
      <c r="C50" s="254"/>
      <c r="D50" s="242"/>
      <c r="E50" s="242"/>
      <c r="F50" s="303" t="str">
        <f>IF(OR(ISTEXT($F$39),ISTEXT($F$38)),"loan data missing",PMT($F$39,$F$38-IF($D$34="Principal and Interest",0,$D$35*$U$7),-$D$36))</f>
        <v>loan data missing</v>
      </c>
      <c r="G50" s="334"/>
      <c r="H50" s="334"/>
      <c r="I50" s="243"/>
      <c r="O50" s="244"/>
      <c r="P50" s="353"/>
      <c r="Q50" s="353" t="s">
        <v>144</v>
      </c>
      <c r="R50" s="354">
        <f t="shared" ref="R50:U50" si="5">VLOOKUP(R46,$Q$39:$S$43,3)</f>
        <v>0.105</v>
      </c>
      <c r="S50" s="354">
        <f t="shared" si="5"/>
        <v>0.105</v>
      </c>
      <c r="T50" s="354">
        <f t="shared" si="5"/>
        <v>0.105</v>
      </c>
      <c r="U50" s="354">
        <f t="shared" si="5"/>
        <v>0.105</v>
      </c>
    </row>
    <row r="51" spans="1:21" ht="20.25" customHeight="1" x14ac:dyDescent="0.3">
      <c r="A51" s="242"/>
      <c r="B51" s="254" t="s">
        <v>105</v>
      </c>
      <c r="C51" s="254"/>
      <c r="D51" s="242"/>
      <c r="E51" s="242"/>
      <c r="F51" s="303" t="str">
        <f>IF(OR(ISTEXT($F$39),ISTEXT($F$38)),"loan data missing",PMT($F$48,$F$38-IF($D$34="Principal and Interest",0,$D$35*$U$7),-$D$36))</f>
        <v>loan data missing</v>
      </c>
      <c r="G51" s="334"/>
      <c r="H51" s="334"/>
      <c r="I51" s="243"/>
      <c r="O51" s="244"/>
      <c r="P51" s="309"/>
      <c r="Q51" s="309"/>
      <c r="R51" s="309"/>
      <c r="S51" s="309"/>
      <c r="T51" s="309"/>
      <c r="U51" s="331"/>
    </row>
    <row r="52" spans="1:21" ht="11.25" customHeight="1" x14ac:dyDescent="0.3">
      <c r="A52" s="242"/>
      <c r="B52" s="254"/>
      <c r="C52" s="254"/>
      <c r="D52" s="242"/>
      <c r="E52" s="242"/>
      <c r="F52" s="242"/>
      <c r="G52" s="243"/>
      <c r="H52" s="243"/>
      <c r="I52" s="243"/>
      <c r="O52" s="244"/>
      <c r="P52" s="355"/>
      <c r="Q52" s="356" t="s">
        <v>145</v>
      </c>
      <c r="R52" s="351">
        <f t="shared" ref="R52:U52" si="6">IF(R46&gt;0,R49+(R46-R48)*R50,0)</f>
        <v>0</v>
      </c>
      <c r="S52" s="351">
        <f t="shared" si="6"/>
        <v>0</v>
      </c>
      <c r="T52" s="351">
        <f t="shared" si="6"/>
        <v>0</v>
      </c>
      <c r="U52" s="351">
        <f t="shared" si="6"/>
        <v>0</v>
      </c>
    </row>
    <row r="53" spans="1:21" ht="20.25" customHeight="1" x14ac:dyDescent="0.3">
      <c r="A53" s="242"/>
      <c r="B53" s="254" t="s">
        <v>107</v>
      </c>
      <c r="C53" s="254"/>
      <c r="D53" s="357"/>
      <c r="E53" s="358" t="str">
        <f t="shared" ref="E53:E54" ca="1" si="7">IFERROR(F$30/F50,"")</f>
        <v/>
      </c>
      <c r="F53" s="359" t="str">
        <f t="shared" ref="F53:F54" si="8">IF(OR(ISTEXT($F$39),ISTEXT($F$38)),"loan data missing",F$30-F50)</f>
        <v>loan data missing</v>
      </c>
      <c r="G53" s="243"/>
      <c r="H53" s="243"/>
      <c r="I53" s="243"/>
      <c r="O53" s="244"/>
      <c r="P53" s="309"/>
      <c r="Q53" s="309"/>
      <c r="R53" s="309"/>
      <c r="S53" s="309"/>
      <c r="T53" s="309"/>
      <c r="U53" s="331"/>
    </row>
    <row r="54" spans="1:21" ht="20.25" customHeight="1" x14ac:dyDescent="0.3">
      <c r="A54" s="242"/>
      <c r="B54" s="254" t="s">
        <v>108</v>
      </c>
      <c r="C54" s="254"/>
      <c r="D54" s="357"/>
      <c r="E54" s="358" t="str">
        <f t="shared" ca="1" si="7"/>
        <v/>
      </c>
      <c r="F54" s="359" t="str">
        <f t="shared" si="8"/>
        <v>loan data missing</v>
      </c>
      <c r="G54" s="243"/>
      <c r="H54" s="243" t="str">
        <f>IF(ISTEXT(F54),"loan data missing",IF(F54&gt;0.99999,"PASS","FAIL"))</f>
        <v>loan data missing</v>
      </c>
      <c r="I54" s="243"/>
      <c r="K54" s="259"/>
      <c r="O54" s="244"/>
      <c r="P54" s="309"/>
      <c r="Q54" s="309"/>
      <c r="R54" s="309"/>
      <c r="S54" s="309"/>
      <c r="T54" s="309"/>
      <c r="U54" s="331"/>
    </row>
    <row r="55" spans="1:21" ht="11.25" customHeight="1" x14ac:dyDescent="0.3">
      <c r="A55" s="239"/>
      <c r="B55" s="352"/>
      <c r="C55" s="254"/>
      <c r="D55" s="242"/>
      <c r="E55" s="242"/>
      <c r="F55" s="360"/>
      <c r="G55" s="243"/>
      <c r="H55" s="243"/>
      <c r="I55" s="243"/>
      <c r="O55" s="244"/>
      <c r="P55" s="361"/>
      <c r="Q55" s="362" t="s">
        <v>146</v>
      </c>
      <c r="R55" s="363">
        <f t="shared" ref="R55:U55" si="9">R46-R52</f>
        <v>0</v>
      </c>
      <c r="S55" s="363">
        <f t="shared" si="9"/>
        <v>0</v>
      </c>
      <c r="T55" s="363">
        <f t="shared" si="9"/>
        <v>0</v>
      </c>
      <c r="U55" s="363">
        <f t="shared" si="9"/>
        <v>0</v>
      </c>
    </row>
    <row r="56" spans="1:21" ht="11.25" customHeight="1" x14ac:dyDescent="0.3">
      <c r="A56" s="239"/>
      <c r="B56" s="352"/>
      <c r="C56" s="254"/>
      <c r="D56" s="242"/>
      <c r="E56" s="242"/>
      <c r="F56" s="242"/>
      <c r="G56" s="243"/>
      <c r="H56" s="243"/>
      <c r="I56" s="243"/>
      <c r="O56" s="244"/>
      <c r="P56" s="309"/>
      <c r="Q56" s="309"/>
      <c r="R56" s="309"/>
      <c r="S56" s="309"/>
      <c r="T56" s="309"/>
    </row>
    <row r="57" spans="1:21" ht="11.25" customHeight="1" x14ac:dyDescent="0.3">
      <c r="A57" s="239"/>
      <c r="B57" s="352"/>
      <c r="C57" s="254"/>
      <c r="D57" s="242"/>
      <c r="E57" s="242"/>
      <c r="F57" s="242"/>
      <c r="G57" s="243"/>
      <c r="H57" s="243"/>
      <c r="I57" s="243"/>
      <c r="O57" s="244"/>
      <c r="P57" s="309"/>
      <c r="Q57" s="309"/>
      <c r="R57" s="309"/>
      <c r="S57" s="309"/>
      <c r="T57" s="309"/>
    </row>
    <row r="58" spans="1:21" ht="20.25" customHeight="1" x14ac:dyDescent="0.3">
      <c r="A58" s="239"/>
      <c r="B58" s="352" t="s">
        <v>147</v>
      </c>
      <c r="C58" s="352"/>
      <c r="D58" s="239"/>
      <c r="E58" s="239"/>
      <c r="F58" s="239"/>
      <c r="O58" s="244"/>
      <c r="P58" s="244"/>
      <c r="Q58" s="244"/>
      <c r="R58" s="244"/>
    </row>
    <row r="59" spans="1:21" ht="20.25" customHeight="1" x14ac:dyDescent="0.3">
      <c r="A59" s="239"/>
      <c r="B59" s="352" t="s">
        <v>148</v>
      </c>
      <c r="C59" s="352"/>
      <c r="D59" s="364"/>
      <c r="E59" s="239"/>
      <c r="F59" s="239"/>
      <c r="O59" s="244"/>
      <c r="P59" s="244"/>
      <c r="Q59" s="244"/>
      <c r="R59" s="244"/>
    </row>
    <row r="60" spans="1:21" ht="20.25" customHeight="1" x14ac:dyDescent="0.3">
      <c r="A60" s="239"/>
      <c r="B60" s="352" t="s">
        <v>149</v>
      </c>
      <c r="C60" s="352"/>
      <c r="D60" s="365">
        <v>0.6</v>
      </c>
      <c r="E60" s="239"/>
      <c r="F60" s="239"/>
      <c r="O60" s="244"/>
      <c r="P60" s="244"/>
      <c r="Q60" s="244"/>
      <c r="R60" s="244"/>
    </row>
    <row r="61" spans="1:21" ht="20.25" customHeight="1" x14ac:dyDescent="0.3">
      <c r="A61" s="239"/>
      <c r="B61" s="352" t="str">
        <f>"Maximum Loan @ LVR Band &lt; "&amp;TEXT(D$60,"0.0%")</f>
        <v>Maximum Loan @ LVR Band &lt; 60.0%</v>
      </c>
      <c r="C61" s="352"/>
      <c r="D61" s="366" t="str">
        <f ca="1">IFERROR(ROUNDDOWN(MIN(D60*D59-1,-PV($E$48/12,$D$38*12,MAX(0,$F$30-1))),-2),"data missing")</f>
        <v>data missing</v>
      </c>
      <c r="E61" s="367">
        <f ca="1">IFERROR(D61/D59,0)</f>
        <v>0</v>
      </c>
      <c r="F61" s="239"/>
      <c r="O61" s="244"/>
      <c r="P61" s="244"/>
      <c r="Q61" s="244"/>
      <c r="R61" s="244"/>
    </row>
    <row r="62" spans="1:21" ht="11.25" customHeight="1" x14ac:dyDescent="0.3">
      <c r="A62" s="239"/>
      <c r="B62" s="352"/>
      <c r="C62" s="352"/>
      <c r="D62" s="239"/>
      <c r="E62" s="239"/>
      <c r="F62" s="239"/>
      <c r="O62" s="244"/>
      <c r="P62" s="244"/>
      <c r="Q62" s="244"/>
      <c r="R62" s="244"/>
    </row>
    <row r="63" spans="1:21" ht="11.25" customHeight="1" x14ac:dyDescent="0.3">
      <c r="B63" s="352"/>
      <c r="C63" s="352"/>
      <c r="D63" s="239"/>
      <c r="E63" s="239"/>
      <c r="F63" s="239"/>
      <c r="O63" s="244"/>
      <c r="P63" s="244"/>
      <c r="Q63" s="244"/>
      <c r="R63" s="244"/>
    </row>
    <row r="64" spans="1:21" ht="11.25" customHeight="1" x14ac:dyDescent="0.3">
      <c r="B64" s="352"/>
      <c r="C64" s="352"/>
      <c r="D64" s="239"/>
      <c r="E64" s="239"/>
      <c r="F64" s="239"/>
      <c r="O64" s="244"/>
      <c r="P64" s="244"/>
      <c r="Q64" s="244"/>
      <c r="R64" s="244"/>
    </row>
    <row r="65" spans="2:18" ht="11.25" customHeight="1" x14ac:dyDescent="0.3">
      <c r="B65" s="352"/>
      <c r="C65" s="352"/>
      <c r="D65" s="239"/>
      <c r="E65" s="239"/>
      <c r="F65" s="239"/>
      <c r="O65" s="244"/>
      <c r="P65" s="244"/>
      <c r="Q65" s="244"/>
      <c r="R65" s="244"/>
    </row>
    <row r="66" spans="2:18" ht="11.25" customHeight="1" x14ac:dyDescent="0.3">
      <c r="B66" s="352"/>
      <c r="C66" s="352"/>
      <c r="D66" s="239"/>
      <c r="E66" s="239"/>
      <c r="O66" s="244"/>
      <c r="P66" s="244"/>
      <c r="Q66" s="244"/>
      <c r="R66" s="244"/>
    </row>
    <row r="67" spans="2:18" ht="11.25" customHeight="1" x14ac:dyDescent="0.3">
      <c r="B67" s="352"/>
      <c r="C67" s="352"/>
      <c r="O67" s="244"/>
      <c r="P67" s="244"/>
      <c r="Q67" s="244"/>
      <c r="R67" s="244"/>
    </row>
    <row r="68" spans="2:18" ht="11.25" customHeight="1" x14ac:dyDescent="0.3">
      <c r="O68" s="244"/>
      <c r="P68" s="244"/>
      <c r="Q68" s="244"/>
      <c r="R68" s="244"/>
    </row>
    <row r="69" spans="2:18" ht="11.25" customHeight="1" x14ac:dyDescent="0.3">
      <c r="O69" s="244"/>
      <c r="P69" s="244"/>
      <c r="Q69" s="244"/>
      <c r="R69" s="244"/>
    </row>
    <row r="70" spans="2:18" ht="11.25" customHeight="1" x14ac:dyDescent="0.3">
      <c r="O70" s="244"/>
      <c r="P70" s="244"/>
      <c r="Q70" s="244"/>
      <c r="R70" s="244"/>
    </row>
    <row r="71" spans="2:18" ht="11.25" customHeight="1" x14ac:dyDescent="0.3">
      <c r="O71" s="244"/>
      <c r="P71" s="244"/>
      <c r="Q71" s="244"/>
      <c r="R71" s="244"/>
    </row>
    <row r="72" spans="2:18" ht="11.25" customHeight="1" x14ac:dyDescent="0.3">
      <c r="O72" s="244"/>
      <c r="P72" s="244"/>
      <c r="Q72" s="244"/>
      <c r="R72" s="244"/>
    </row>
    <row r="73" spans="2:18" ht="11.25" customHeight="1" x14ac:dyDescent="0.3">
      <c r="O73" s="244"/>
      <c r="P73" s="244"/>
      <c r="Q73" s="244"/>
      <c r="R73" s="244"/>
    </row>
    <row r="74" spans="2:18" ht="11.25" customHeight="1" x14ac:dyDescent="0.3">
      <c r="O74" s="244"/>
      <c r="P74" s="244"/>
      <c r="Q74" s="244"/>
      <c r="R74" s="244"/>
    </row>
    <row r="75" spans="2:18" ht="11.25" customHeight="1" x14ac:dyDescent="0.3">
      <c r="O75" s="244"/>
      <c r="P75" s="244"/>
      <c r="Q75" s="244"/>
      <c r="R75" s="244"/>
    </row>
    <row r="76" spans="2:18" ht="11.25" customHeight="1" x14ac:dyDescent="0.3">
      <c r="O76" s="244"/>
      <c r="P76" s="244"/>
      <c r="Q76" s="244"/>
      <c r="R76" s="244"/>
    </row>
    <row r="77" spans="2:18" ht="11.25" customHeight="1" x14ac:dyDescent="0.3">
      <c r="O77" s="244"/>
      <c r="P77" s="244"/>
      <c r="Q77" s="244"/>
      <c r="R77" s="244"/>
    </row>
    <row r="78" spans="2:18" ht="11.25" customHeight="1" x14ac:dyDescent="0.3">
      <c r="O78" s="244"/>
      <c r="P78" s="244"/>
      <c r="Q78" s="244"/>
      <c r="R78" s="244"/>
    </row>
    <row r="79" spans="2:18" ht="11.25" customHeight="1" x14ac:dyDescent="0.3">
      <c r="O79" s="244"/>
      <c r="P79" s="244"/>
      <c r="Q79" s="244"/>
      <c r="R79" s="244"/>
    </row>
    <row r="80" spans="2:18" ht="11.25" customHeight="1" x14ac:dyDescent="0.3">
      <c r="O80" s="244"/>
      <c r="P80" s="244"/>
      <c r="Q80" s="244"/>
      <c r="R80" s="244"/>
    </row>
    <row r="81" spans="15:18" ht="11.25" customHeight="1" x14ac:dyDescent="0.3">
      <c r="O81" s="244"/>
      <c r="P81" s="244"/>
      <c r="Q81" s="244"/>
      <c r="R81" s="244"/>
    </row>
    <row r="82" spans="15:18" ht="11.25" customHeight="1" x14ac:dyDescent="0.3">
      <c r="O82" s="244"/>
      <c r="P82" s="244"/>
      <c r="Q82" s="244"/>
      <c r="R82" s="244"/>
    </row>
    <row r="83" spans="15:18" ht="11.25" customHeight="1" x14ac:dyDescent="0.3">
      <c r="O83" s="244"/>
      <c r="P83" s="244"/>
      <c r="Q83" s="244"/>
      <c r="R83" s="244"/>
    </row>
    <row r="84" spans="15:18" ht="11.25" customHeight="1" x14ac:dyDescent="0.3">
      <c r="O84" s="244"/>
      <c r="P84" s="244"/>
      <c r="Q84" s="244"/>
      <c r="R84" s="244"/>
    </row>
    <row r="85" spans="15:18" ht="11.25" customHeight="1" x14ac:dyDescent="0.3">
      <c r="O85" s="244"/>
      <c r="P85" s="244"/>
      <c r="Q85" s="244"/>
      <c r="R85" s="244"/>
    </row>
    <row r="86" spans="15:18" ht="11.25" customHeight="1" x14ac:dyDescent="0.3">
      <c r="O86" s="244"/>
      <c r="P86" s="244"/>
      <c r="Q86" s="244"/>
      <c r="R86" s="244"/>
    </row>
    <row r="87" spans="15:18" ht="11.25" customHeight="1" x14ac:dyDescent="0.3">
      <c r="O87" s="244"/>
      <c r="P87" s="244"/>
      <c r="Q87" s="244"/>
      <c r="R87" s="244"/>
    </row>
    <row r="88" spans="15:18" ht="11.25" customHeight="1" x14ac:dyDescent="0.3">
      <c r="O88" s="244"/>
      <c r="P88" s="244"/>
      <c r="Q88" s="244"/>
      <c r="R88" s="244"/>
    </row>
    <row r="89" spans="15:18" ht="11.25" customHeight="1" x14ac:dyDescent="0.3">
      <c r="O89" s="244"/>
      <c r="P89" s="244"/>
      <c r="Q89" s="244"/>
      <c r="R89" s="244"/>
    </row>
    <row r="90" spans="15:18" ht="11.25" customHeight="1" x14ac:dyDescent="0.3">
      <c r="O90" s="244"/>
      <c r="P90" s="244"/>
      <c r="Q90" s="244"/>
      <c r="R90" s="244"/>
    </row>
    <row r="91" spans="15:18" ht="11.25" customHeight="1" x14ac:dyDescent="0.3">
      <c r="O91" s="244"/>
      <c r="P91" s="244"/>
      <c r="Q91" s="244"/>
      <c r="R91" s="244"/>
    </row>
    <row r="92" spans="15:18" ht="11.25" customHeight="1" x14ac:dyDescent="0.3">
      <c r="O92" s="244"/>
      <c r="P92" s="244"/>
      <c r="Q92" s="244"/>
      <c r="R92" s="244"/>
    </row>
    <row r="93" spans="15:18" ht="11.25" customHeight="1" x14ac:dyDescent="0.3">
      <c r="O93" s="244"/>
      <c r="P93" s="244"/>
      <c r="Q93" s="244"/>
      <c r="R93" s="244"/>
    </row>
    <row r="94" spans="15:18" ht="11.25" customHeight="1" x14ac:dyDescent="0.3">
      <c r="O94" s="244"/>
      <c r="P94" s="244"/>
      <c r="Q94" s="244"/>
      <c r="R94" s="244"/>
    </row>
    <row r="95" spans="15:18" ht="11.25" customHeight="1" x14ac:dyDescent="0.3">
      <c r="O95" s="244"/>
      <c r="P95" s="244"/>
      <c r="Q95" s="244"/>
      <c r="R95" s="244"/>
    </row>
    <row r="96" spans="15:18" ht="11.25" customHeight="1" x14ac:dyDescent="0.3">
      <c r="O96" s="244"/>
      <c r="P96" s="244"/>
      <c r="Q96" s="244"/>
      <c r="R96" s="244"/>
    </row>
    <row r="97" spans="15:18" ht="11.25" customHeight="1" x14ac:dyDescent="0.3">
      <c r="O97" s="244"/>
      <c r="P97" s="244"/>
      <c r="Q97" s="244"/>
      <c r="R97" s="244"/>
    </row>
    <row r="98" spans="15:18" ht="11.25" customHeight="1" x14ac:dyDescent="0.3">
      <c r="O98" s="244"/>
      <c r="P98" s="244"/>
      <c r="Q98" s="244"/>
      <c r="R98" s="244"/>
    </row>
    <row r="99" spans="15:18" ht="11.25" customHeight="1" x14ac:dyDescent="0.3">
      <c r="O99" s="244"/>
      <c r="P99" s="244"/>
      <c r="Q99" s="244"/>
      <c r="R99" s="244"/>
    </row>
    <row r="100" spans="15:18" ht="11.25" customHeight="1" x14ac:dyDescent="0.3">
      <c r="O100" s="244"/>
      <c r="P100" s="244"/>
      <c r="Q100" s="244"/>
      <c r="R100" s="244"/>
    </row>
    <row r="101" spans="15:18" ht="11.25" customHeight="1" x14ac:dyDescent="0.3">
      <c r="O101" s="244"/>
      <c r="P101" s="244"/>
      <c r="Q101" s="244"/>
      <c r="R101" s="244"/>
    </row>
    <row r="102" spans="15:18" ht="11.25" customHeight="1" x14ac:dyDescent="0.3">
      <c r="O102" s="244"/>
      <c r="P102" s="244"/>
      <c r="Q102" s="244"/>
      <c r="R102" s="244"/>
    </row>
    <row r="103" spans="15:18" ht="11.25" customHeight="1" x14ac:dyDescent="0.3">
      <c r="O103" s="244"/>
      <c r="P103" s="244"/>
      <c r="Q103" s="244"/>
      <c r="R103" s="244"/>
    </row>
    <row r="104" spans="15:18" ht="11.25" customHeight="1" x14ac:dyDescent="0.3">
      <c r="O104" s="244"/>
      <c r="P104" s="244"/>
      <c r="Q104" s="244"/>
      <c r="R104" s="244"/>
    </row>
    <row r="105" spans="15:18" ht="11.25" customHeight="1" x14ac:dyDescent="0.3">
      <c r="O105" s="244"/>
      <c r="P105" s="244"/>
      <c r="Q105" s="244"/>
      <c r="R105" s="244"/>
    </row>
    <row r="106" spans="15:18" ht="11.25" customHeight="1" x14ac:dyDescent="0.3">
      <c r="O106" s="244"/>
      <c r="P106" s="244"/>
      <c r="Q106" s="244"/>
      <c r="R106" s="244"/>
    </row>
    <row r="107" spans="15:18" ht="11.25" customHeight="1" x14ac:dyDescent="0.3">
      <c r="O107" s="244"/>
      <c r="P107" s="244"/>
      <c r="Q107" s="244"/>
      <c r="R107" s="244"/>
    </row>
    <row r="108" spans="15:18" ht="11.25" customHeight="1" x14ac:dyDescent="0.3">
      <c r="O108" s="244"/>
      <c r="P108" s="244"/>
      <c r="Q108" s="244"/>
      <c r="R108" s="244"/>
    </row>
    <row r="109" spans="15:18" ht="11.25" customHeight="1" x14ac:dyDescent="0.3">
      <c r="O109" s="244"/>
      <c r="P109" s="244"/>
      <c r="Q109" s="244"/>
      <c r="R109" s="244"/>
    </row>
    <row r="110" spans="15:18" ht="11.25" customHeight="1" x14ac:dyDescent="0.3">
      <c r="O110" s="244"/>
      <c r="P110" s="244"/>
      <c r="Q110" s="244"/>
      <c r="R110" s="244"/>
    </row>
    <row r="111" spans="15:18" ht="11.25" customHeight="1" x14ac:dyDescent="0.3">
      <c r="O111" s="244"/>
      <c r="P111" s="244"/>
      <c r="Q111" s="244"/>
      <c r="R111" s="244"/>
    </row>
    <row r="112" spans="15:18" ht="11.25" customHeight="1" x14ac:dyDescent="0.3">
      <c r="O112" s="244"/>
      <c r="P112" s="244"/>
      <c r="Q112" s="244"/>
      <c r="R112" s="244"/>
    </row>
    <row r="113" spans="15:18" ht="11.25" customHeight="1" x14ac:dyDescent="0.3">
      <c r="O113" s="244"/>
      <c r="P113" s="244"/>
      <c r="Q113" s="244"/>
      <c r="R113" s="244"/>
    </row>
    <row r="114" spans="15:18" ht="11.25" customHeight="1" x14ac:dyDescent="0.3">
      <c r="O114" s="244"/>
      <c r="P114" s="244"/>
      <c r="Q114" s="244"/>
      <c r="R114" s="244"/>
    </row>
    <row r="115" spans="15:18" ht="11.25" customHeight="1" x14ac:dyDescent="0.3">
      <c r="O115" s="244"/>
      <c r="P115" s="244"/>
      <c r="Q115" s="244"/>
      <c r="R115" s="244"/>
    </row>
    <row r="116" spans="15:18" ht="11.25" customHeight="1" x14ac:dyDescent="0.3">
      <c r="O116" s="244"/>
      <c r="P116" s="244"/>
      <c r="Q116" s="244"/>
      <c r="R116" s="244"/>
    </row>
    <row r="117" spans="15:18" ht="11.25" customHeight="1" x14ac:dyDescent="0.3">
      <c r="O117" s="244"/>
      <c r="P117" s="244"/>
      <c r="Q117" s="244"/>
      <c r="R117" s="244"/>
    </row>
    <row r="118" spans="15:18" ht="11.25" customHeight="1" x14ac:dyDescent="0.3">
      <c r="O118" s="244"/>
      <c r="P118" s="244"/>
      <c r="Q118" s="244"/>
      <c r="R118" s="244"/>
    </row>
    <row r="119" spans="15:18" ht="11.25" customHeight="1" x14ac:dyDescent="0.3">
      <c r="O119" s="244"/>
      <c r="P119" s="244"/>
      <c r="Q119" s="244"/>
      <c r="R119" s="244"/>
    </row>
    <row r="120" spans="15:18" ht="11.25" customHeight="1" x14ac:dyDescent="0.3">
      <c r="O120" s="244"/>
      <c r="P120" s="244"/>
      <c r="Q120" s="244"/>
      <c r="R120" s="244"/>
    </row>
    <row r="121" spans="15:18" ht="11.25" customHeight="1" x14ac:dyDescent="0.3">
      <c r="O121" s="244"/>
      <c r="P121" s="244"/>
      <c r="Q121" s="244"/>
      <c r="R121" s="244"/>
    </row>
    <row r="122" spans="15:18" ht="11.25" customHeight="1" x14ac:dyDescent="0.3">
      <c r="O122" s="244"/>
      <c r="P122" s="244"/>
      <c r="Q122" s="244"/>
      <c r="R122" s="244"/>
    </row>
    <row r="123" spans="15:18" ht="11.25" customHeight="1" x14ac:dyDescent="0.3">
      <c r="O123" s="244"/>
      <c r="P123" s="244"/>
      <c r="Q123" s="244"/>
      <c r="R123" s="244"/>
    </row>
    <row r="124" spans="15:18" ht="11.25" customHeight="1" x14ac:dyDescent="0.3">
      <c r="O124" s="244"/>
      <c r="P124" s="244"/>
      <c r="Q124" s="244"/>
      <c r="R124" s="244"/>
    </row>
    <row r="125" spans="15:18" ht="11.25" customHeight="1" x14ac:dyDescent="0.3">
      <c r="O125" s="244"/>
      <c r="P125" s="244"/>
      <c r="Q125" s="244"/>
      <c r="R125" s="244"/>
    </row>
    <row r="126" spans="15:18" ht="11.25" customHeight="1" x14ac:dyDescent="0.3">
      <c r="O126" s="244"/>
      <c r="P126" s="244"/>
      <c r="Q126" s="244"/>
      <c r="R126" s="244"/>
    </row>
    <row r="127" spans="15:18" ht="11.25" customHeight="1" x14ac:dyDescent="0.3">
      <c r="O127" s="244"/>
      <c r="P127" s="244"/>
      <c r="Q127" s="244"/>
      <c r="R127" s="244"/>
    </row>
    <row r="128" spans="15:18" ht="11.25" customHeight="1" x14ac:dyDescent="0.3">
      <c r="O128" s="244"/>
      <c r="P128" s="244"/>
      <c r="Q128" s="244"/>
      <c r="R128" s="244"/>
    </row>
    <row r="129" spans="15:18" ht="11.25" customHeight="1" x14ac:dyDescent="0.3">
      <c r="O129" s="244"/>
      <c r="P129" s="244"/>
      <c r="Q129" s="244"/>
      <c r="R129" s="244"/>
    </row>
    <row r="130" spans="15:18" ht="11.25" customHeight="1" x14ac:dyDescent="0.3">
      <c r="O130" s="244"/>
      <c r="P130" s="244"/>
      <c r="Q130" s="244"/>
      <c r="R130" s="244"/>
    </row>
    <row r="131" spans="15:18" ht="11.25" customHeight="1" x14ac:dyDescent="0.3">
      <c r="O131" s="244"/>
      <c r="P131" s="244"/>
      <c r="Q131" s="244"/>
      <c r="R131" s="244"/>
    </row>
    <row r="132" spans="15:18" ht="11.25" customHeight="1" x14ac:dyDescent="0.3">
      <c r="O132" s="244"/>
      <c r="P132" s="244"/>
      <c r="Q132" s="244"/>
      <c r="R132" s="244"/>
    </row>
    <row r="133" spans="15:18" ht="11.25" customHeight="1" x14ac:dyDescent="0.3">
      <c r="O133" s="244"/>
      <c r="P133" s="244"/>
      <c r="Q133" s="244"/>
      <c r="R133" s="244"/>
    </row>
    <row r="134" spans="15:18" ht="11.25" customHeight="1" x14ac:dyDescent="0.3">
      <c r="O134" s="244"/>
      <c r="P134" s="244"/>
      <c r="Q134" s="244"/>
      <c r="R134" s="244"/>
    </row>
    <row r="135" spans="15:18" ht="11.25" customHeight="1" x14ac:dyDescent="0.3">
      <c r="O135" s="244"/>
      <c r="P135" s="244"/>
      <c r="Q135" s="244"/>
      <c r="R135" s="244"/>
    </row>
    <row r="136" spans="15:18" ht="11.25" customHeight="1" x14ac:dyDescent="0.3">
      <c r="O136" s="244"/>
      <c r="P136" s="244"/>
      <c r="Q136" s="244"/>
      <c r="R136" s="244"/>
    </row>
    <row r="137" spans="15:18" ht="11.25" customHeight="1" x14ac:dyDescent="0.3">
      <c r="O137" s="244"/>
      <c r="P137" s="244"/>
      <c r="Q137" s="244"/>
      <c r="R137" s="244"/>
    </row>
    <row r="138" spans="15:18" ht="11.25" customHeight="1" x14ac:dyDescent="0.3">
      <c r="O138" s="244"/>
      <c r="P138" s="244"/>
      <c r="Q138" s="244"/>
      <c r="R138" s="244"/>
    </row>
    <row r="139" spans="15:18" ht="11.25" customHeight="1" x14ac:dyDescent="0.3">
      <c r="O139" s="244"/>
      <c r="P139" s="244"/>
      <c r="Q139" s="244"/>
      <c r="R139" s="244"/>
    </row>
    <row r="140" spans="15:18" ht="11.25" customHeight="1" x14ac:dyDescent="0.3">
      <c r="O140" s="244"/>
      <c r="P140" s="244"/>
      <c r="Q140" s="244"/>
      <c r="R140" s="244"/>
    </row>
    <row r="141" spans="15:18" ht="11.25" customHeight="1" x14ac:dyDescent="0.3">
      <c r="O141" s="244"/>
      <c r="P141" s="244"/>
      <c r="Q141" s="244"/>
      <c r="R141" s="244"/>
    </row>
    <row r="142" spans="15:18" ht="11.25" customHeight="1" x14ac:dyDescent="0.3">
      <c r="O142" s="244"/>
      <c r="P142" s="244"/>
      <c r="Q142" s="244"/>
      <c r="R142" s="244"/>
    </row>
    <row r="143" spans="15:18" ht="11.25" customHeight="1" x14ac:dyDescent="0.3">
      <c r="O143" s="244"/>
      <c r="P143" s="244"/>
      <c r="Q143" s="244"/>
      <c r="R143" s="244"/>
    </row>
    <row r="144" spans="15:18" ht="11.25" customHeight="1" x14ac:dyDescent="0.3">
      <c r="O144" s="244"/>
      <c r="P144" s="244"/>
      <c r="Q144" s="244"/>
      <c r="R144" s="244"/>
    </row>
    <row r="145" spans="15:18" ht="11.25" customHeight="1" x14ac:dyDescent="0.3">
      <c r="O145" s="244"/>
      <c r="P145" s="244"/>
      <c r="Q145" s="244"/>
      <c r="R145" s="244"/>
    </row>
    <row r="146" spans="15:18" ht="11.25" customHeight="1" x14ac:dyDescent="0.3">
      <c r="O146" s="244"/>
      <c r="P146" s="244"/>
      <c r="Q146" s="244"/>
      <c r="R146" s="244"/>
    </row>
    <row r="147" spans="15:18" ht="11.25" customHeight="1" x14ac:dyDescent="0.3">
      <c r="O147" s="244"/>
      <c r="P147" s="244"/>
      <c r="Q147" s="244"/>
      <c r="R147" s="244"/>
    </row>
    <row r="148" spans="15:18" ht="11.25" customHeight="1" x14ac:dyDescent="0.3">
      <c r="O148" s="244"/>
      <c r="P148" s="244"/>
      <c r="Q148" s="244"/>
      <c r="R148" s="244"/>
    </row>
    <row r="149" spans="15:18" ht="11.25" customHeight="1" x14ac:dyDescent="0.3">
      <c r="O149" s="244"/>
      <c r="P149" s="244"/>
      <c r="Q149" s="244"/>
      <c r="R149" s="244"/>
    </row>
    <row r="150" spans="15:18" ht="11.25" customHeight="1" x14ac:dyDescent="0.3">
      <c r="O150" s="244"/>
      <c r="P150" s="244"/>
      <c r="Q150" s="244"/>
      <c r="R150" s="244"/>
    </row>
    <row r="151" spans="15:18" ht="11.25" customHeight="1" x14ac:dyDescent="0.3">
      <c r="O151" s="244"/>
      <c r="P151" s="244"/>
      <c r="Q151" s="244"/>
      <c r="R151" s="244"/>
    </row>
    <row r="152" spans="15:18" ht="11.25" customHeight="1" x14ac:dyDescent="0.3">
      <c r="O152" s="244"/>
      <c r="P152" s="244"/>
      <c r="Q152" s="244"/>
      <c r="R152" s="244"/>
    </row>
    <row r="153" spans="15:18" ht="11.25" customHeight="1" x14ac:dyDescent="0.3">
      <c r="O153" s="244"/>
      <c r="P153" s="244"/>
      <c r="Q153" s="244"/>
      <c r="R153" s="244"/>
    </row>
    <row r="154" spans="15:18" ht="11.25" customHeight="1" x14ac:dyDescent="0.3">
      <c r="O154" s="244"/>
      <c r="P154" s="244"/>
      <c r="Q154" s="244"/>
      <c r="R154" s="244"/>
    </row>
    <row r="155" spans="15:18" ht="11.25" customHeight="1" x14ac:dyDescent="0.3">
      <c r="O155" s="244"/>
      <c r="P155" s="244"/>
      <c r="Q155" s="244"/>
      <c r="R155" s="244"/>
    </row>
    <row r="156" spans="15:18" ht="11.25" customHeight="1" x14ac:dyDescent="0.3">
      <c r="O156" s="244"/>
      <c r="P156" s="244"/>
      <c r="Q156" s="244"/>
      <c r="R156" s="244"/>
    </row>
    <row r="157" spans="15:18" ht="11.25" customHeight="1" x14ac:dyDescent="0.3">
      <c r="O157" s="244"/>
      <c r="P157" s="244"/>
      <c r="Q157" s="244"/>
      <c r="R157" s="244"/>
    </row>
    <row r="158" spans="15:18" ht="11.25" customHeight="1" x14ac:dyDescent="0.3">
      <c r="O158" s="244"/>
      <c r="P158" s="244"/>
      <c r="Q158" s="244"/>
      <c r="R158" s="244"/>
    </row>
    <row r="159" spans="15:18" ht="11.25" customHeight="1" x14ac:dyDescent="0.3">
      <c r="O159" s="244"/>
      <c r="P159" s="244"/>
      <c r="Q159" s="244"/>
      <c r="R159" s="244"/>
    </row>
    <row r="160" spans="15:18" ht="11.25" customHeight="1" x14ac:dyDescent="0.3">
      <c r="O160" s="244"/>
      <c r="P160" s="244"/>
      <c r="Q160" s="244"/>
      <c r="R160" s="244"/>
    </row>
    <row r="161" spans="15:18" ht="11.25" customHeight="1" x14ac:dyDescent="0.3">
      <c r="O161" s="244"/>
      <c r="P161" s="244"/>
      <c r="Q161" s="244"/>
      <c r="R161" s="244"/>
    </row>
    <row r="162" spans="15:18" ht="11.25" customHeight="1" x14ac:dyDescent="0.3">
      <c r="O162" s="244"/>
      <c r="P162" s="244"/>
      <c r="Q162" s="244"/>
      <c r="R162" s="244"/>
    </row>
    <row r="163" spans="15:18" ht="11.25" customHeight="1" x14ac:dyDescent="0.3">
      <c r="O163" s="244"/>
      <c r="P163" s="244"/>
      <c r="Q163" s="244"/>
      <c r="R163" s="244"/>
    </row>
    <row r="164" spans="15:18" ht="11.25" customHeight="1" x14ac:dyDescent="0.3">
      <c r="O164" s="244"/>
      <c r="P164" s="244"/>
      <c r="Q164" s="244"/>
      <c r="R164" s="244"/>
    </row>
    <row r="165" spans="15:18" ht="11.25" customHeight="1" x14ac:dyDescent="0.3">
      <c r="O165" s="244"/>
      <c r="P165" s="244"/>
      <c r="Q165" s="244"/>
      <c r="R165" s="244"/>
    </row>
    <row r="166" spans="15:18" ht="11.25" customHeight="1" x14ac:dyDescent="0.3">
      <c r="O166" s="244"/>
      <c r="P166" s="244"/>
      <c r="Q166" s="244"/>
      <c r="R166" s="244"/>
    </row>
    <row r="167" spans="15:18" ht="11.25" customHeight="1" x14ac:dyDescent="0.3">
      <c r="O167" s="244"/>
      <c r="P167" s="244"/>
      <c r="Q167" s="244"/>
      <c r="R167" s="244"/>
    </row>
    <row r="168" spans="15:18" ht="11.25" customHeight="1" x14ac:dyDescent="0.3">
      <c r="O168" s="244"/>
      <c r="P168" s="244"/>
      <c r="Q168" s="244"/>
      <c r="R168" s="244"/>
    </row>
    <row r="169" spans="15:18" ht="11.25" customHeight="1" x14ac:dyDescent="0.3">
      <c r="O169" s="244"/>
      <c r="P169" s="244"/>
      <c r="Q169" s="244"/>
      <c r="R169" s="244"/>
    </row>
    <row r="170" spans="15:18" ht="11.25" customHeight="1" x14ac:dyDescent="0.3">
      <c r="O170" s="244"/>
      <c r="P170" s="244"/>
      <c r="Q170" s="244"/>
      <c r="R170" s="244"/>
    </row>
    <row r="171" spans="15:18" ht="11.25" customHeight="1" x14ac:dyDescent="0.3">
      <c r="O171" s="244"/>
      <c r="P171" s="244"/>
      <c r="Q171" s="244"/>
      <c r="R171" s="244"/>
    </row>
    <row r="172" spans="15:18" ht="11.25" customHeight="1" x14ac:dyDescent="0.3">
      <c r="O172" s="244"/>
      <c r="P172" s="244"/>
      <c r="Q172" s="244"/>
      <c r="R172" s="244"/>
    </row>
    <row r="173" spans="15:18" ht="11.25" customHeight="1" x14ac:dyDescent="0.3">
      <c r="O173" s="244"/>
      <c r="P173" s="244"/>
      <c r="Q173" s="244"/>
      <c r="R173" s="244"/>
    </row>
    <row r="174" spans="15:18" ht="11.25" customHeight="1" x14ac:dyDescent="0.3">
      <c r="O174" s="244"/>
      <c r="P174" s="244"/>
      <c r="Q174" s="244"/>
      <c r="R174" s="244"/>
    </row>
    <row r="175" spans="15:18" ht="11.25" customHeight="1" x14ac:dyDescent="0.3">
      <c r="O175" s="244"/>
      <c r="P175" s="244"/>
      <c r="Q175" s="244"/>
      <c r="R175" s="244"/>
    </row>
    <row r="176" spans="15:18" ht="11.25" customHeight="1" x14ac:dyDescent="0.3">
      <c r="O176" s="244"/>
      <c r="P176" s="244"/>
      <c r="Q176" s="244"/>
      <c r="R176" s="244"/>
    </row>
    <row r="177" spans="15:18" ht="11.25" customHeight="1" x14ac:dyDescent="0.3">
      <c r="O177" s="244"/>
      <c r="P177" s="244"/>
      <c r="Q177" s="244"/>
      <c r="R177" s="244"/>
    </row>
    <row r="178" spans="15:18" ht="11.25" customHeight="1" x14ac:dyDescent="0.3">
      <c r="O178" s="244"/>
      <c r="P178" s="244"/>
      <c r="Q178" s="244"/>
      <c r="R178" s="244"/>
    </row>
    <row r="179" spans="15:18" ht="11.25" customHeight="1" x14ac:dyDescent="0.3">
      <c r="O179" s="244"/>
      <c r="P179" s="244"/>
      <c r="Q179" s="244"/>
      <c r="R179" s="244"/>
    </row>
    <row r="180" spans="15:18" ht="11.25" customHeight="1" x14ac:dyDescent="0.3">
      <c r="O180" s="244"/>
      <c r="P180" s="244"/>
      <c r="Q180" s="244"/>
      <c r="R180" s="244"/>
    </row>
    <row r="181" spans="15:18" ht="11.25" customHeight="1" x14ac:dyDescent="0.3">
      <c r="O181" s="244"/>
      <c r="P181" s="244"/>
      <c r="Q181" s="244"/>
      <c r="R181" s="244"/>
    </row>
    <row r="182" spans="15:18" ht="11.25" customHeight="1" x14ac:dyDescent="0.3">
      <c r="O182" s="244"/>
      <c r="P182" s="244"/>
      <c r="Q182" s="244"/>
      <c r="R182" s="244"/>
    </row>
    <row r="183" spans="15:18" ht="11.25" customHeight="1" x14ac:dyDescent="0.3">
      <c r="O183" s="244"/>
      <c r="P183" s="244"/>
      <c r="Q183" s="244"/>
      <c r="R183" s="244"/>
    </row>
    <row r="184" spans="15:18" ht="11.25" customHeight="1" x14ac:dyDescent="0.3">
      <c r="O184" s="244"/>
      <c r="P184" s="244"/>
      <c r="Q184" s="244"/>
      <c r="R184" s="244"/>
    </row>
    <row r="185" spans="15:18" ht="11.25" customHeight="1" x14ac:dyDescent="0.3">
      <c r="O185" s="244"/>
      <c r="P185" s="244"/>
      <c r="Q185" s="244"/>
      <c r="R185" s="244"/>
    </row>
    <row r="186" spans="15:18" ht="11.25" customHeight="1" x14ac:dyDescent="0.3">
      <c r="O186" s="244"/>
      <c r="P186" s="244"/>
      <c r="Q186" s="244"/>
      <c r="R186" s="244"/>
    </row>
    <row r="187" spans="15:18" ht="11.25" customHeight="1" x14ac:dyDescent="0.3">
      <c r="O187" s="244"/>
      <c r="P187" s="244"/>
      <c r="Q187" s="244"/>
      <c r="R187" s="244"/>
    </row>
    <row r="188" spans="15:18" ht="11.25" customHeight="1" x14ac:dyDescent="0.3">
      <c r="O188" s="244"/>
      <c r="P188" s="244"/>
      <c r="Q188" s="244"/>
      <c r="R188" s="244"/>
    </row>
    <row r="189" spans="15:18" ht="11.25" customHeight="1" x14ac:dyDescent="0.3">
      <c r="O189" s="244"/>
      <c r="P189" s="244"/>
      <c r="Q189" s="244"/>
      <c r="R189" s="244"/>
    </row>
    <row r="190" spans="15:18" ht="11.25" customHeight="1" x14ac:dyDescent="0.3">
      <c r="O190" s="244"/>
      <c r="P190" s="244"/>
      <c r="Q190" s="244"/>
      <c r="R190" s="244"/>
    </row>
    <row r="191" spans="15:18" ht="11.25" customHeight="1" x14ac:dyDescent="0.3">
      <c r="O191" s="244"/>
      <c r="P191" s="244"/>
      <c r="Q191" s="244"/>
      <c r="R191" s="244"/>
    </row>
    <row r="192" spans="15:18" ht="11.25" customHeight="1" x14ac:dyDescent="0.3">
      <c r="O192" s="244"/>
      <c r="P192" s="244"/>
      <c r="Q192" s="244"/>
      <c r="R192" s="244"/>
    </row>
    <row r="193" spans="15:18" ht="11.25" customHeight="1" x14ac:dyDescent="0.3">
      <c r="O193" s="244"/>
      <c r="P193" s="244"/>
      <c r="Q193" s="244"/>
      <c r="R193" s="244"/>
    </row>
    <row r="194" spans="15:18" ht="11.25" customHeight="1" x14ac:dyDescent="0.3">
      <c r="O194" s="244"/>
      <c r="P194" s="244"/>
      <c r="Q194" s="244"/>
      <c r="R194" s="244"/>
    </row>
    <row r="195" spans="15:18" ht="11.25" customHeight="1" x14ac:dyDescent="0.3">
      <c r="O195" s="244"/>
      <c r="P195" s="244"/>
      <c r="Q195" s="244"/>
      <c r="R195" s="244"/>
    </row>
    <row r="196" spans="15:18" ht="11.25" customHeight="1" x14ac:dyDescent="0.3">
      <c r="O196" s="244"/>
      <c r="P196" s="244"/>
      <c r="Q196" s="244"/>
      <c r="R196" s="244"/>
    </row>
    <row r="197" spans="15:18" ht="11.25" customHeight="1" x14ac:dyDescent="0.3">
      <c r="O197" s="244"/>
      <c r="P197" s="244"/>
      <c r="Q197" s="244"/>
      <c r="R197" s="244"/>
    </row>
    <row r="198" spans="15:18" ht="11.25" customHeight="1" x14ac:dyDescent="0.3">
      <c r="O198" s="244"/>
      <c r="P198" s="244"/>
      <c r="Q198" s="244"/>
      <c r="R198" s="244"/>
    </row>
    <row r="199" spans="15:18" ht="11.25" customHeight="1" x14ac:dyDescent="0.3">
      <c r="O199" s="244"/>
      <c r="P199" s="244"/>
      <c r="Q199" s="244"/>
      <c r="R199" s="244"/>
    </row>
    <row r="200" spans="15:18" ht="11.25" customHeight="1" x14ac:dyDescent="0.3">
      <c r="O200" s="244"/>
      <c r="P200" s="244"/>
      <c r="Q200" s="244"/>
      <c r="R200" s="244"/>
    </row>
    <row r="201" spans="15:18" ht="11.25" customHeight="1" x14ac:dyDescent="0.3">
      <c r="O201" s="244"/>
      <c r="P201" s="244"/>
      <c r="Q201" s="244"/>
      <c r="R201" s="244"/>
    </row>
    <row r="202" spans="15:18" ht="11.25" customHeight="1" x14ac:dyDescent="0.3">
      <c r="O202" s="244"/>
      <c r="P202" s="244"/>
      <c r="Q202" s="244"/>
      <c r="R202" s="244"/>
    </row>
    <row r="203" spans="15:18" ht="11.25" customHeight="1" x14ac:dyDescent="0.3">
      <c r="O203" s="244"/>
      <c r="P203" s="244"/>
      <c r="Q203" s="244"/>
      <c r="R203" s="244"/>
    </row>
    <row r="204" spans="15:18" ht="11.25" customHeight="1" x14ac:dyDescent="0.3">
      <c r="O204" s="244"/>
      <c r="P204" s="244"/>
      <c r="Q204" s="244"/>
      <c r="R204" s="244"/>
    </row>
    <row r="205" spans="15:18" ht="11.25" customHeight="1" x14ac:dyDescent="0.3">
      <c r="O205" s="244"/>
      <c r="P205" s="244"/>
      <c r="Q205" s="244"/>
      <c r="R205" s="244"/>
    </row>
    <row r="206" spans="15:18" ht="11.25" customHeight="1" x14ac:dyDescent="0.3">
      <c r="O206" s="244"/>
      <c r="P206" s="244"/>
      <c r="Q206" s="244"/>
      <c r="R206" s="244"/>
    </row>
    <row r="207" spans="15:18" ht="11.25" customHeight="1" x14ac:dyDescent="0.3">
      <c r="O207" s="244"/>
      <c r="P207" s="244"/>
      <c r="Q207" s="244"/>
      <c r="R207" s="244"/>
    </row>
    <row r="208" spans="15:18" ht="11.25" customHeight="1" x14ac:dyDescent="0.3">
      <c r="O208" s="244"/>
      <c r="P208" s="244"/>
      <c r="Q208" s="244"/>
      <c r="R208" s="244"/>
    </row>
    <row r="209" spans="15:18" ht="11.25" customHeight="1" x14ac:dyDescent="0.3">
      <c r="O209" s="244"/>
      <c r="P209" s="244"/>
      <c r="Q209" s="244"/>
      <c r="R209" s="244"/>
    </row>
    <row r="210" spans="15:18" ht="11.25" customHeight="1" x14ac:dyDescent="0.3">
      <c r="O210" s="244"/>
      <c r="P210" s="244"/>
      <c r="Q210" s="244"/>
      <c r="R210" s="244"/>
    </row>
    <row r="211" spans="15:18" ht="11.25" customHeight="1" x14ac:dyDescent="0.3">
      <c r="O211" s="244"/>
      <c r="P211" s="244"/>
      <c r="Q211" s="244"/>
      <c r="R211" s="244"/>
    </row>
    <row r="212" spans="15:18" ht="11.25" customHeight="1" x14ac:dyDescent="0.3">
      <c r="O212" s="244"/>
      <c r="P212" s="244"/>
      <c r="Q212" s="244"/>
      <c r="R212" s="244"/>
    </row>
    <row r="213" spans="15:18" ht="11.25" customHeight="1" x14ac:dyDescent="0.3">
      <c r="O213" s="244"/>
      <c r="P213" s="244"/>
      <c r="Q213" s="244"/>
      <c r="R213" s="244"/>
    </row>
    <row r="214" spans="15:18" ht="11.25" customHeight="1" x14ac:dyDescent="0.3">
      <c r="O214" s="244"/>
      <c r="P214" s="244"/>
      <c r="Q214" s="244"/>
      <c r="R214" s="244"/>
    </row>
    <row r="215" spans="15:18" ht="11.25" customHeight="1" x14ac:dyDescent="0.3">
      <c r="O215" s="244"/>
      <c r="P215" s="244"/>
      <c r="Q215" s="244"/>
      <c r="R215" s="244"/>
    </row>
    <row r="216" spans="15:18" ht="11.25" customHeight="1" x14ac:dyDescent="0.3">
      <c r="O216" s="244"/>
      <c r="P216" s="244"/>
      <c r="Q216" s="244"/>
      <c r="R216" s="244"/>
    </row>
    <row r="217" spans="15:18" ht="11.25" customHeight="1" x14ac:dyDescent="0.3">
      <c r="O217" s="244"/>
      <c r="P217" s="244"/>
      <c r="Q217" s="244"/>
      <c r="R217" s="244"/>
    </row>
    <row r="218" spans="15:18" ht="11.25" customHeight="1" x14ac:dyDescent="0.3">
      <c r="O218" s="244"/>
      <c r="P218" s="244"/>
      <c r="Q218" s="244"/>
      <c r="R218" s="244"/>
    </row>
    <row r="219" spans="15:18" ht="11.25" customHeight="1" x14ac:dyDescent="0.3">
      <c r="O219" s="244"/>
      <c r="P219" s="244"/>
      <c r="Q219" s="244"/>
      <c r="R219" s="244"/>
    </row>
    <row r="220" spans="15:18" ht="11.25" customHeight="1" x14ac:dyDescent="0.3">
      <c r="O220" s="244"/>
      <c r="P220" s="244"/>
      <c r="Q220" s="244"/>
      <c r="R220" s="244"/>
    </row>
    <row r="221" spans="15:18" ht="11.25" customHeight="1" x14ac:dyDescent="0.3">
      <c r="O221" s="244"/>
      <c r="P221" s="244"/>
      <c r="Q221" s="244"/>
      <c r="R221" s="244"/>
    </row>
    <row r="222" spans="15:18" ht="11.25" customHeight="1" x14ac:dyDescent="0.3">
      <c r="O222" s="244"/>
      <c r="P222" s="244"/>
      <c r="Q222" s="244"/>
      <c r="R222" s="244"/>
    </row>
    <row r="223" spans="15:18" ht="11.25" customHeight="1" x14ac:dyDescent="0.3">
      <c r="O223" s="244"/>
      <c r="P223" s="244"/>
      <c r="Q223" s="244"/>
      <c r="R223" s="244"/>
    </row>
    <row r="224" spans="15:18" ht="11.25" customHeight="1" x14ac:dyDescent="0.3">
      <c r="O224" s="244"/>
      <c r="P224" s="244"/>
      <c r="Q224" s="244"/>
      <c r="R224" s="244"/>
    </row>
    <row r="225" spans="15:18" ht="11.25" customHeight="1" x14ac:dyDescent="0.3">
      <c r="O225" s="244"/>
      <c r="P225" s="244"/>
      <c r="Q225" s="244"/>
      <c r="R225" s="244"/>
    </row>
    <row r="226" spans="15:18" ht="11.25" customHeight="1" x14ac:dyDescent="0.3">
      <c r="O226" s="244"/>
      <c r="P226" s="244"/>
      <c r="Q226" s="244"/>
      <c r="R226" s="244"/>
    </row>
    <row r="227" spans="15:18" ht="11.25" customHeight="1" x14ac:dyDescent="0.3">
      <c r="O227" s="244"/>
      <c r="P227" s="244"/>
      <c r="Q227" s="244"/>
      <c r="R227" s="244"/>
    </row>
    <row r="228" spans="15:18" ht="11.25" customHeight="1" x14ac:dyDescent="0.3">
      <c r="O228" s="244"/>
      <c r="P228" s="244"/>
      <c r="Q228" s="244"/>
      <c r="R228" s="244"/>
    </row>
    <row r="229" spans="15:18" ht="11.25" customHeight="1" x14ac:dyDescent="0.3">
      <c r="O229" s="244"/>
      <c r="P229" s="244"/>
      <c r="Q229" s="244"/>
      <c r="R229" s="244"/>
    </row>
    <row r="230" spans="15:18" ht="11.25" customHeight="1" x14ac:dyDescent="0.3">
      <c r="O230" s="244"/>
      <c r="P230" s="244"/>
      <c r="Q230" s="244"/>
      <c r="R230" s="244"/>
    </row>
    <row r="231" spans="15:18" ht="11.25" customHeight="1" x14ac:dyDescent="0.3">
      <c r="O231" s="244"/>
      <c r="P231" s="244"/>
      <c r="Q231" s="244"/>
      <c r="R231" s="244"/>
    </row>
    <row r="232" spans="15:18" ht="11.25" customHeight="1" x14ac:dyDescent="0.3">
      <c r="O232" s="244"/>
      <c r="P232" s="244"/>
      <c r="Q232" s="244"/>
      <c r="R232" s="244"/>
    </row>
    <row r="233" spans="15:18" ht="11.25" customHeight="1" x14ac:dyDescent="0.3">
      <c r="O233" s="244"/>
      <c r="P233" s="244"/>
      <c r="Q233" s="244"/>
      <c r="R233" s="244"/>
    </row>
    <row r="234" spans="15:18" ht="11.25" customHeight="1" x14ac:dyDescent="0.3">
      <c r="O234" s="244"/>
      <c r="P234" s="244"/>
      <c r="Q234" s="244"/>
      <c r="R234" s="244"/>
    </row>
    <row r="235" spans="15:18" ht="11.25" customHeight="1" x14ac:dyDescent="0.3">
      <c r="O235" s="244"/>
      <c r="P235" s="244"/>
      <c r="Q235" s="244"/>
      <c r="R235" s="244"/>
    </row>
    <row r="236" spans="15:18" ht="11.25" customHeight="1" x14ac:dyDescent="0.3">
      <c r="O236" s="244"/>
      <c r="P236" s="244"/>
      <c r="Q236" s="244"/>
      <c r="R236" s="244"/>
    </row>
    <row r="237" spans="15:18" ht="11.25" customHeight="1" x14ac:dyDescent="0.3">
      <c r="O237" s="244"/>
      <c r="P237" s="244"/>
      <c r="Q237" s="244"/>
      <c r="R237" s="244"/>
    </row>
    <row r="238" spans="15:18" ht="11.25" customHeight="1" x14ac:dyDescent="0.3">
      <c r="O238" s="244"/>
      <c r="P238" s="244"/>
      <c r="Q238" s="244"/>
      <c r="R238" s="244"/>
    </row>
    <row r="239" spans="15:18" ht="11.25" customHeight="1" x14ac:dyDescent="0.3">
      <c r="O239" s="244"/>
      <c r="P239" s="244"/>
      <c r="Q239" s="244"/>
      <c r="R239" s="244"/>
    </row>
    <row r="240" spans="15:18" ht="11.25" customHeight="1" x14ac:dyDescent="0.3">
      <c r="O240" s="244"/>
      <c r="P240" s="244"/>
      <c r="Q240" s="244"/>
      <c r="R240" s="244"/>
    </row>
    <row r="241" spans="15:18" ht="11.25" customHeight="1" x14ac:dyDescent="0.3">
      <c r="O241" s="244"/>
      <c r="P241" s="244"/>
      <c r="Q241" s="244"/>
      <c r="R241" s="244"/>
    </row>
    <row r="242" spans="15:18" ht="11.25" customHeight="1" x14ac:dyDescent="0.3">
      <c r="O242" s="244"/>
      <c r="P242" s="244"/>
      <c r="Q242" s="244"/>
      <c r="R242" s="244"/>
    </row>
    <row r="243" spans="15:18" ht="11.25" customHeight="1" x14ac:dyDescent="0.3">
      <c r="O243" s="244"/>
      <c r="P243" s="244"/>
      <c r="Q243" s="244"/>
      <c r="R243" s="244"/>
    </row>
    <row r="244" spans="15:18" ht="11.25" customHeight="1" x14ac:dyDescent="0.3">
      <c r="O244" s="244"/>
      <c r="P244" s="244"/>
      <c r="Q244" s="244"/>
      <c r="R244" s="244"/>
    </row>
    <row r="245" spans="15:18" ht="11.25" customHeight="1" x14ac:dyDescent="0.3">
      <c r="O245" s="244"/>
      <c r="P245" s="244"/>
      <c r="Q245" s="244"/>
      <c r="R245" s="244"/>
    </row>
    <row r="246" spans="15:18" ht="11.25" customHeight="1" x14ac:dyDescent="0.3">
      <c r="O246" s="244"/>
      <c r="P246" s="244"/>
      <c r="Q246" s="244"/>
      <c r="R246" s="244"/>
    </row>
    <row r="247" spans="15:18" ht="11.25" customHeight="1" x14ac:dyDescent="0.3">
      <c r="O247" s="244"/>
      <c r="P247" s="244"/>
      <c r="Q247" s="244"/>
      <c r="R247" s="244"/>
    </row>
    <row r="248" spans="15:18" ht="11.25" customHeight="1" x14ac:dyDescent="0.3">
      <c r="O248" s="244"/>
      <c r="P248" s="244"/>
      <c r="Q248" s="244"/>
      <c r="R248" s="244"/>
    </row>
    <row r="249" spans="15:18" ht="11.25" customHeight="1" x14ac:dyDescent="0.3">
      <c r="O249" s="244"/>
      <c r="P249" s="244"/>
      <c r="Q249" s="244"/>
      <c r="R249" s="244"/>
    </row>
    <row r="250" spans="15:18" ht="11.25" customHeight="1" x14ac:dyDescent="0.3">
      <c r="O250" s="244"/>
      <c r="P250" s="244"/>
      <c r="Q250" s="244"/>
      <c r="R250" s="244"/>
    </row>
    <row r="251" spans="15:18" ht="11.25" customHeight="1" x14ac:dyDescent="0.3">
      <c r="O251" s="244"/>
      <c r="P251" s="244"/>
      <c r="Q251" s="244"/>
      <c r="R251" s="244"/>
    </row>
    <row r="252" spans="15:18" ht="11.25" customHeight="1" x14ac:dyDescent="0.3">
      <c r="O252" s="244"/>
      <c r="P252" s="244"/>
      <c r="Q252" s="244"/>
      <c r="R252" s="244"/>
    </row>
    <row r="253" spans="15:18" ht="11.25" customHeight="1" x14ac:dyDescent="0.3">
      <c r="O253" s="244"/>
      <c r="P253" s="244"/>
      <c r="Q253" s="244"/>
      <c r="R253" s="244"/>
    </row>
    <row r="254" spans="15:18" ht="11.25" customHeight="1" x14ac:dyDescent="0.3">
      <c r="O254" s="244"/>
      <c r="P254" s="244"/>
      <c r="Q254" s="244"/>
      <c r="R254" s="244"/>
    </row>
    <row r="255" spans="15:18" ht="11.25" customHeight="1" x14ac:dyDescent="0.3">
      <c r="O255" s="244"/>
      <c r="P255" s="244"/>
      <c r="Q255" s="244"/>
      <c r="R255" s="244"/>
    </row>
    <row r="256" spans="15:18" ht="11.25" customHeight="1" x14ac:dyDescent="0.3">
      <c r="O256" s="244"/>
      <c r="P256" s="244"/>
      <c r="Q256" s="244"/>
      <c r="R256" s="244"/>
    </row>
    <row r="257" spans="15:18" ht="11.25" customHeight="1" x14ac:dyDescent="0.3">
      <c r="O257" s="244"/>
      <c r="P257" s="244"/>
      <c r="Q257" s="244"/>
      <c r="R257" s="244"/>
    </row>
    <row r="258" spans="15:18" ht="11.25" customHeight="1" x14ac:dyDescent="0.3">
      <c r="O258" s="244"/>
      <c r="P258" s="244"/>
      <c r="Q258" s="244"/>
      <c r="R258" s="244"/>
    </row>
    <row r="259" spans="15:18" ht="11.25" customHeight="1" x14ac:dyDescent="0.3">
      <c r="O259" s="244"/>
      <c r="P259" s="244"/>
      <c r="Q259" s="244"/>
      <c r="R259" s="244"/>
    </row>
    <row r="260" spans="15:18" ht="11.25" customHeight="1" x14ac:dyDescent="0.3">
      <c r="O260" s="244"/>
      <c r="P260" s="244"/>
      <c r="Q260" s="244"/>
      <c r="R260" s="244"/>
    </row>
    <row r="261" spans="15:18" ht="11.25" customHeight="1" x14ac:dyDescent="0.3">
      <c r="O261" s="244"/>
      <c r="P261" s="244"/>
      <c r="Q261" s="244"/>
      <c r="R261" s="244"/>
    </row>
    <row r="262" spans="15:18" ht="15.75" customHeight="1" x14ac:dyDescent="0.3"/>
    <row r="263" spans="15:18" ht="15.75" customHeight="1" x14ac:dyDescent="0.3"/>
    <row r="264" spans="15:18" ht="15.75" customHeight="1" x14ac:dyDescent="0.3"/>
    <row r="265" spans="15:18" ht="15.75" customHeight="1" x14ac:dyDescent="0.3"/>
    <row r="266" spans="15:18" ht="15.75" customHeight="1" x14ac:dyDescent="0.3"/>
    <row r="267" spans="15:18" ht="15.75" customHeight="1" x14ac:dyDescent="0.3"/>
    <row r="268" spans="15:18" ht="15.75" customHeight="1" x14ac:dyDescent="0.3"/>
    <row r="269" spans="15:18" ht="15.75" customHeight="1" x14ac:dyDescent="0.3"/>
    <row r="270" spans="15:18" ht="15.75" customHeight="1" x14ac:dyDescent="0.3"/>
    <row r="271" spans="15:18" ht="15.75" customHeight="1" x14ac:dyDescent="0.3"/>
    <row r="272" spans="15:18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F1"/>
    <mergeCell ref="D11:E11"/>
    <mergeCell ref="W14:Y14"/>
    <mergeCell ref="Q37:S37"/>
  </mergeCells>
  <conditionalFormatting sqref="D5:D10">
    <cfRule type="expression" dxfId="21" priority="18">
      <formula>$D5=0</formula>
    </cfRule>
  </conditionalFormatting>
  <conditionalFormatting sqref="D19">
    <cfRule type="expression" dxfId="20" priority="30">
      <formula>F12&lt;=1</formula>
    </cfRule>
  </conditionalFormatting>
  <conditionalFormatting sqref="D20">
    <cfRule type="expression" dxfId="19" priority="24">
      <formula>$D20=0</formula>
    </cfRule>
  </conditionalFormatting>
  <conditionalFormatting sqref="D35">
    <cfRule type="expression" dxfId="18" priority="1">
      <formula>D34="Principal and Interest"</formula>
    </cfRule>
    <cfRule type="expression" dxfId="17" priority="2">
      <formula>$D35=0</formula>
    </cfRule>
  </conditionalFormatting>
  <conditionalFormatting sqref="D36">
    <cfRule type="expression" dxfId="16" priority="8">
      <formula>$D36=0</formula>
    </cfRule>
  </conditionalFormatting>
  <conditionalFormatting sqref="D38:D39">
    <cfRule type="expression" dxfId="15" priority="9">
      <formula>$D38=0</formula>
    </cfRule>
  </conditionalFormatting>
  <conditionalFormatting sqref="E5:E8">
    <cfRule type="expression" dxfId="14" priority="19">
      <formula>$D5=0</formula>
    </cfRule>
  </conditionalFormatting>
  <conditionalFormatting sqref="E48">
    <cfRule type="expression" dxfId="13" priority="20">
      <formula>$E48="no loan rate entered"</formula>
    </cfRule>
  </conditionalFormatting>
  <conditionalFormatting sqref="F20">
    <cfRule type="expression" dxfId="12" priority="22">
      <formula>$F20="marital status missing"</formula>
    </cfRule>
  </conditionalFormatting>
  <conditionalFormatting sqref="F30">
    <cfRule type="expression" dxfId="11" priority="23">
      <formula>$F30="data missing"</formula>
    </cfRule>
  </conditionalFormatting>
  <conditionalFormatting sqref="F38">
    <cfRule type="expression" dxfId="10" priority="16">
      <formula>$F38="loan term missing"</formula>
    </cfRule>
  </conditionalFormatting>
  <conditionalFormatting sqref="F39">
    <cfRule type="expression" dxfId="9" priority="17">
      <formula>$F39="loan rate missing"</formula>
    </cfRule>
  </conditionalFormatting>
  <conditionalFormatting sqref="F42">
    <cfRule type="expression" dxfId="8" priority="7">
      <formula>$B42=""</formula>
    </cfRule>
  </conditionalFormatting>
  <conditionalFormatting sqref="F43">
    <cfRule type="expression" dxfId="7" priority="15">
      <formula>$F43="loan data missing"</formula>
    </cfRule>
  </conditionalFormatting>
  <conditionalFormatting sqref="F48">
    <cfRule type="expression" dxfId="6" priority="21">
      <formula>$F48="loan rate missing"</formula>
    </cfRule>
  </conditionalFormatting>
  <conditionalFormatting sqref="F50:F51">
    <cfRule type="expression" dxfId="5" priority="11">
      <formula>$F50="loan data missing"</formula>
    </cfRule>
  </conditionalFormatting>
  <conditionalFormatting sqref="F53:F54">
    <cfRule type="expression" dxfId="4" priority="5">
      <formula>OR($F53&lt;0,ISTEXT($F53))</formula>
    </cfRule>
    <cfRule type="cellIs" dxfId="3" priority="6" operator="greaterThan">
      <formula>0.99999</formula>
    </cfRule>
    <cfRule type="expression" dxfId="2" priority="13">
      <formula>$F53="loan data missing"</formula>
    </cfRule>
  </conditionalFormatting>
  <conditionalFormatting sqref="H54">
    <cfRule type="expression" dxfId="1" priority="3">
      <formula>$H54="PASS"</formula>
    </cfRule>
    <cfRule type="expression" dxfId="0" priority="4">
      <formula>OR($H54="FAIL",$H54="loan data missing")</formula>
    </cfRule>
  </conditionalFormatting>
  <dataValidations count="3">
    <dataValidation type="list" allowBlank="1" showErrorMessage="1" sqref="D60" xr:uid="{00000000-0002-0000-0100-000000000000}">
      <formula1>"0.6,0.65,0.7,0.75,0.8,0.85"</formula1>
    </dataValidation>
    <dataValidation type="list" allowBlank="1" showErrorMessage="1" sqref="D17" xr:uid="{00000000-0002-0000-0100-000001000000}">
      <formula1>$Q$17:$Q$21</formula1>
    </dataValidation>
    <dataValidation type="list" allowBlank="1" showErrorMessage="1" sqref="D34" xr:uid="{00000000-0002-0000-0100-000002000000}">
      <formula1>"Principal and Interest,Interest Only"</formula1>
    </dataValidation>
  </dataValidations>
  <pageMargins left="0.7" right="0.7" top="0.75" bottom="0.75" header="0" footer="0"/>
  <pageSetup paperSize="9" orientation="portrait"/>
  <colBreaks count="1" manualBreakCount="1">
    <brk id="6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"/>
  <sheetViews>
    <sheetView workbookViewId="0">
      <selection activeCell="E8" sqref="E8"/>
    </sheetView>
  </sheetViews>
  <sheetFormatPr defaultColWidth="14.3984375" defaultRowHeight="15" customHeight="1" x14ac:dyDescent="0.3"/>
  <cols>
    <col min="4" max="4" width="33" customWidth="1"/>
  </cols>
  <sheetData>
    <row r="1" spans="1:5" ht="15" customHeight="1" x14ac:dyDescent="0.3">
      <c r="A1" s="368" t="s">
        <v>150</v>
      </c>
      <c r="B1" s="369" t="s">
        <v>151</v>
      </c>
      <c r="C1" s="370" t="s">
        <v>152</v>
      </c>
      <c r="D1" s="369" t="s">
        <v>153</v>
      </c>
      <c r="E1" s="369" t="s">
        <v>154</v>
      </c>
    </row>
    <row r="2" spans="1:5" ht="15" customHeight="1" x14ac:dyDescent="0.3">
      <c r="A2" s="371">
        <v>2</v>
      </c>
      <c r="B2" s="372" t="s">
        <v>155</v>
      </c>
      <c r="C2" s="373">
        <v>45028</v>
      </c>
      <c r="D2" s="372" t="s">
        <v>156</v>
      </c>
      <c r="E2" s="372"/>
    </row>
    <row r="3" spans="1:5" ht="15" customHeight="1" x14ac:dyDescent="0.3">
      <c r="A3">
        <v>2.1</v>
      </c>
      <c r="B3" s="391" t="s">
        <v>157</v>
      </c>
      <c r="C3" s="392">
        <v>45108</v>
      </c>
      <c r="D3" s="391" t="s">
        <v>158</v>
      </c>
    </row>
    <row r="4" spans="1:5" ht="15" customHeight="1" x14ac:dyDescent="0.3">
      <c r="A4">
        <v>2.2000000000000002</v>
      </c>
      <c r="B4" t="s">
        <v>157</v>
      </c>
      <c r="C4" s="392">
        <v>45211</v>
      </c>
      <c r="D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SERVICEABILITY CALCULATOR</vt:lpstr>
      <vt:lpstr>ADDITIONAL INFO</vt:lpstr>
      <vt:lpstr>Version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Peters</cp:lastModifiedBy>
  <dcterms:created xsi:type="dcterms:W3CDTF">2023-04-25T22:56:53Z</dcterms:created>
  <dcterms:modified xsi:type="dcterms:W3CDTF">2023-10-12T03:36:27Z</dcterms:modified>
</cp:coreProperties>
</file>